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sydir-my.sharepoint.com/personal/katja_ohtonen_hsy_fi/Documents/Tiedostot OneDrive/puunpolttoraportti/"/>
    </mc:Choice>
  </mc:AlternateContent>
  <xr:revisionPtr revIDLastSave="26" documentId="8_{8C79BA69-6B00-445A-971B-7439E23609EA}" xr6:coauthVersionLast="41" xr6:coauthVersionMax="45" xr10:uidLastSave="{0D4D2D3B-62F9-4E00-B5E3-B59988DFBA09}"/>
  <bookViews>
    <workbookView xWindow="-120" yWindow="-120" windowWidth="29040" windowHeight="15990" xr2:uid="{957F23EF-AAB0-47A6-B894-61FC7DFDD18C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414" i="1" l="1"/>
  <c r="S414" i="1" s="1"/>
  <c r="P414" i="1"/>
  <c r="Q414" i="1" s="1"/>
  <c r="N414" i="1"/>
  <c r="O414" i="1" s="1"/>
  <c r="L414" i="1"/>
  <c r="M414" i="1" s="1"/>
  <c r="J414" i="1"/>
  <c r="K414" i="1" s="1"/>
  <c r="H414" i="1"/>
  <c r="I414" i="1" s="1"/>
  <c r="F414" i="1"/>
  <c r="G414" i="1" s="1"/>
  <c r="D414" i="1"/>
  <c r="E414" i="1" s="1"/>
  <c r="B414" i="1"/>
  <c r="C414" i="1" s="1"/>
  <c r="S410" i="1"/>
  <c r="Q410" i="1"/>
  <c r="O410" i="1"/>
  <c r="M410" i="1"/>
  <c r="K410" i="1"/>
  <c r="I410" i="1"/>
  <c r="G410" i="1"/>
  <c r="E410" i="1"/>
  <c r="C410" i="1"/>
  <c r="S406" i="1"/>
  <c r="Q406" i="1"/>
  <c r="O406" i="1"/>
  <c r="M406" i="1"/>
  <c r="K406" i="1"/>
  <c r="I406" i="1"/>
  <c r="G406" i="1"/>
  <c r="E406" i="1"/>
  <c r="C406" i="1"/>
  <c r="S402" i="1"/>
  <c r="Q402" i="1"/>
  <c r="O402" i="1"/>
  <c r="M402" i="1"/>
  <c r="K402" i="1"/>
  <c r="I402" i="1"/>
  <c r="G402" i="1"/>
  <c r="E402" i="1"/>
  <c r="C402" i="1"/>
  <c r="R415" i="1" l="1"/>
  <c r="S415" i="1" s="1"/>
  <c r="P415" i="1"/>
  <c r="Q415" i="1" s="1"/>
  <c r="N415" i="1"/>
  <c r="O415" i="1" s="1"/>
  <c r="L415" i="1"/>
  <c r="M415" i="1" s="1"/>
  <c r="J415" i="1"/>
  <c r="K415" i="1" s="1"/>
  <c r="H415" i="1"/>
  <c r="I415" i="1" s="1"/>
  <c r="F415" i="1"/>
  <c r="G415" i="1" s="1"/>
  <c r="D415" i="1"/>
  <c r="E415" i="1" s="1"/>
  <c r="B415" i="1"/>
  <c r="C415" i="1" s="1"/>
  <c r="R413" i="1"/>
  <c r="S413" i="1" s="1"/>
  <c r="P413" i="1"/>
  <c r="Q413" i="1" s="1"/>
  <c r="N413" i="1"/>
  <c r="O413" i="1" s="1"/>
  <c r="L413" i="1"/>
  <c r="M413" i="1" s="1"/>
  <c r="J413" i="1"/>
  <c r="K413" i="1" s="1"/>
  <c r="H413" i="1"/>
  <c r="I413" i="1" s="1"/>
  <c r="F413" i="1"/>
  <c r="G413" i="1" s="1"/>
  <c r="D413" i="1"/>
  <c r="E413" i="1" s="1"/>
  <c r="B413" i="1"/>
  <c r="C413" i="1" s="1"/>
  <c r="S411" i="1"/>
  <c r="Q411" i="1"/>
  <c r="O411" i="1"/>
  <c r="M411" i="1"/>
  <c r="K411" i="1"/>
  <c r="I411" i="1"/>
  <c r="G411" i="1"/>
  <c r="E411" i="1"/>
  <c r="C411" i="1"/>
  <c r="S409" i="1"/>
  <c r="Q409" i="1"/>
  <c r="O409" i="1"/>
  <c r="M409" i="1"/>
  <c r="K409" i="1"/>
  <c r="I409" i="1"/>
  <c r="G409" i="1"/>
  <c r="E409" i="1"/>
  <c r="C409" i="1"/>
  <c r="S407" i="1"/>
  <c r="Q407" i="1"/>
  <c r="O407" i="1"/>
  <c r="M407" i="1"/>
  <c r="K407" i="1"/>
  <c r="I407" i="1"/>
  <c r="G407" i="1"/>
  <c r="E407" i="1"/>
  <c r="C407" i="1"/>
  <c r="S405" i="1"/>
  <c r="Q405" i="1"/>
  <c r="O405" i="1"/>
  <c r="M405" i="1"/>
  <c r="K405" i="1"/>
  <c r="I405" i="1"/>
  <c r="G405" i="1"/>
  <c r="E405" i="1"/>
  <c r="C405" i="1"/>
  <c r="S403" i="1"/>
  <c r="Q403" i="1"/>
  <c r="O403" i="1"/>
  <c r="M403" i="1"/>
  <c r="K403" i="1"/>
  <c r="I403" i="1"/>
  <c r="G403" i="1"/>
  <c r="E403" i="1"/>
  <c r="C403" i="1"/>
  <c r="S401" i="1"/>
  <c r="Q401" i="1"/>
  <c r="O401" i="1"/>
  <c r="M401" i="1"/>
  <c r="K401" i="1"/>
  <c r="I401" i="1"/>
  <c r="G401" i="1"/>
  <c r="E401" i="1"/>
  <c r="C401" i="1"/>
  <c r="I540" i="1" l="1"/>
  <c r="I536" i="1"/>
  <c r="I537" i="1"/>
  <c r="I538" i="1"/>
  <c r="I539" i="1"/>
  <c r="I535" i="1"/>
  <c r="G536" i="1"/>
  <c r="G537" i="1"/>
  <c r="G538" i="1"/>
  <c r="G539" i="1"/>
  <c r="G540" i="1"/>
  <c r="G535" i="1"/>
  <c r="E536" i="1"/>
  <c r="E537" i="1"/>
  <c r="E538" i="1"/>
  <c r="E539" i="1"/>
  <c r="E540" i="1"/>
  <c r="E535" i="1"/>
  <c r="C536" i="1"/>
  <c r="C537" i="1"/>
  <c r="C538" i="1"/>
  <c r="C539" i="1"/>
  <c r="C540" i="1"/>
  <c r="C535" i="1"/>
  <c r="G523" i="1"/>
  <c r="G524" i="1"/>
  <c r="G525" i="1"/>
  <c r="G526" i="1"/>
  <c r="G527" i="1"/>
  <c r="G528" i="1"/>
  <c r="G522" i="1"/>
  <c r="E523" i="1"/>
  <c r="E524" i="1"/>
  <c r="E525" i="1"/>
  <c r="E526" i="1"/>
  <c r="E527" i="1"/>
  <c r="E528" i="1"/>
  <c r="E522" i="1"/>
  <c r="C523" i="1"/>
  <c r="C524" i="1"/>
  <c r="C525" i="1"/>
  <c r="C526" i="1"/>
  <c r="C527" i="1"/>
  <c r="C528" i="1"/>
  <c r="C522" i="1"/>
  <c r="G502" i="1"/>
  <c r="G503" i="1"/>
  <c r="G504" i="1"/>
  <c r="G505" i="1"/>
  <c r="G501" i="1"/>
  <c r="E502" i="1"/>
  <c r="E503" i="1"/>
  <c r="E504" i="1"/>
  <c r="E505" i="1"/>
  <c r="E501" i="1"/>
  <c r="C505" i="1"/>
  <c r="C502" i="1"/>
  <c r="C503" i="1"/>
  <c r="C504" i="1"/>
  <c r="C501" i="1"/>
  <c r="G455" i="1"/>
  <c r="G456" i="1"/>
  <c r="G457" i="1"/>
  <c r="G458" i="1"/>
  <c r="G459" i="1"/>
  <c r="G460" i="1"/>
  <c r="G461" i="1"/>
  <c r="G454" i="1"/>
  <c r="E455" i="1"/>
  <c r="E456" i="1"/>
  <c r="E457" i="1"/>
  <c r="E458" i="1"/>
  <c r="E459" i="1"/>
  <c r="E460" i="1"/>
  <c r="E461" i="1"/>
  <c r="E454" i="1"/>
  <c r="C455" i="1"/>
  <c r="C456" i="1"/>
  <c r="C457" i="1"/>
  <c r="C458" i="1"/>
  <c r="C459" i="1"/>
  <c r="C460" i="1"/>
  <c r="C461" i="1"/>
  <c r="C454" i="1"/>
  <c r="G349" i="1"/>
  <c r="G350" i="1"/>
  <c r="G351" i="1"/>
  <c r="G352" i="1"/>
  <c r="G353" i="1"/>
  <c r="G354" i="1"/>
  <c r="G355" i="1"/>
  <c r="G348" i="1"/>
  <c r="E349" i="1"/>
  <c r="E350" i="1"/>
  <c r="E351" i="1"/>
  <c r="E352" i="1"/>
  <c r="E353" i="1"/>
  <c r="E354" i="1"/>
  <c r="E355" i="1"/>
  <c r="E348" i="1"/>
  <c r="C349" i="1"/>
  <c r="C350" i="1"/>
  <c r="C351" i="1"/>
  <c r="C352" i="1"/>
  <c r="C353" i="1"/>
  <c r="C354" i="1"/>
  <c r="C355" i="1"/>
  <c r="C348" i="1"/>
  <c r="G318" i="1"/>
  <c r="G319" i="1"/>
  <c r="G320" i="1"/>
  <c r="G321" i="1"/>
  <c r="G322" i="1"/>
  <c r="G323" i="1"/>
  <c r="G317" i="1"/>
  <c r="E318" i="1"/>
  <c r="E319" i="1"/>
  <c r="E320" i="1"/>
  <c r="E321" i="1"/>
  <c r="E322" i="1"/>
  <c r="E323" i="1"/>
  <c r="E317" i="1"/>
  <c r="C318" i="1"/>
  <c r="C319" i="1"/>
  <c r="C320" i="1"/>
  <c r="C321" i="1"/>
  <c r="C322" i="1"/>
  <c r="C323" i="1"/>
  <c r="C317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63" i="1"/>
  <c r="G234" i="1"/>
  <c r="G235" i="1"/>
  <c r="G236" i="1"/>
  <c r="G237" i="1"/>
  <c r="G238" i="1"/>
  <c r="G239" i="1"/>
  <c r="G240" i="1"/>
  <c r="G241" i="1"/>
  <c r="G242" i="1"/>
  <c r="G233" i="1"/>
  <c r="E234" i="1"/>
  <c r="E235" i="1"/>
  <c r="E236" i="1"/>
  <c r="E237" i="1"/>
  <c r="E238" i="1"/>
  <c r="E239" i="1"/>
  <c r="E240" i="1"/>
  <c r="E241" i="1"/>
  <c r="E242" i="1"/>
  <c r="E233" i="1"/>
  <c r="C234" i="1"/>
  <c r="C235" i="1"/>
  <c r="C236" i="1"/>
  <c r="C237" i="1"/>
  <c r="C238" i="1"/>
  <c r="C239" i="1"/>
  <c r="C240" i="1"/>
  <c r="C241" i="1"/>
  <c r="C242" i="1"/>
  <c r="C233" i="1"/>
  <c r="G220" i="1"/>
  <c r="G221" i="1"/>
  <c r="G222" i="1"/>
  <c r="G223" i="1"/>
  <c r="G224" i="1"/>
  <c r="G225" i="1"/>
  <c r="G226" i="1"/>
  <c r="G227" i="1"/>
  <c r="G219" i="1"/>
  <c r="E220" i="1"/>
  <c r="E221" i="1"/>
  <c r="E222" i="1"/>
  <c r="E223" i="1"/>
  <c r="E224" i="1"/>
  <c r="E225" i="1"/>
  <c r="E226" i="1"/>
  <c r="E227" i="1"/>
  <c r="E219" i="1"/>
  <c r="C220" i="1"/>
  <c r="C221" i="1"/>
  <c r="C222" i="1"/>
  <c r="C223" i="1"/>
  <c r="C224" i="1"/>
  <c r="C225" i="1"/>
  <c r="C226" i="1"/>
  <c r="C227" i="1"/>
  <c r="C219" i="1"/>
  <c r="G638" i="1" l="1"/>
  <c r="G639" i="1"/>
  <c r="G640" i="1"/>
  <c r="G641" i="1"/>
  <c r="G642" i="1"/>
  <c r="G637" i="1"/>
  <c r="E638" i="1"/>
  <c r="E639" i="1"/>
  <c r="E640" i="1"/>
  <c r="E641" i="1"/>
  <c r="E642" i="1"/>
  <c r="E637" i="1"/>
  <c r="C638" i="1"/>
  <c r="C639" i="1"/>
  <c r="C640" i="1"/>
  <c r="C641" i="1"/>
  <c r="C642" i="1"/>
  <c r="C637" i="1"/>
  <c r="G626" i="1"/>
  <c r="G627" i="1"/>
  <c r="G628" i="1"/>
  <c r="G629" i="1"/>
  <c r="G630" i="1"/>
  <c r="G625" i="1"/>
  <c r="E626" i="1"/>
  <c r="E627" i="1"/>
  <c r="E628" i="1"/>
  <c r="E629" i="1"/>
  <c r="E630" i="1"/>
  <c r="E625" i="1"/>
  <c r="C626" i="1"/>
  <c r="C627" i="1"/>
  <c r="C628" i="1"/>
  <c r="C629" i="1"/>
  <c r="C630" i="1"/>
  <c r="C625" i="1"/>
  <c r="G616" i="1"/>
  <c r="G617" i="1"/>
  <c r="G615" i="1"/>
  <c r="E616" i="1"/>
  <c r="E617" i="1"/>
  <c r="E615" i="1"/>
  <c r="C616" i="1"/>
  <c r="C617" i="1"/>
  <c r="C615" i="1"/>
  <c r="G606" i="1"/>
  <c r="G607" i="1"/>
  <c r="G605" i="1"/>
  <c r="E606" i="1"/>
  <c r="E607" i="1"/>
  <c r="E605" i="1"/>
  <c r="C606" i="1"/>
  <c r="C607" i="1"/>
  <c r="C605" i="1"/>
  <c r="G595" i="1"/>
  <c r="G596" i="1"/>
  <c r="G597" i="1"/>
  <c r="G594" i="1"/>
  <c r="E595" i="1"/>
  <c r="E596" i="1"/>
  <c r="E597" i="1"/>
  <c r="E594" i="1"/>
  <c r="C595" i="1"/>
  <c r="C596" i="1"/>
  <c r="C597" i="1"/>
  <c r="C594" i="1"/>
  <c r="G585" i="1"/>
  <c r="G586" i="1"/>
  <c r="G584" i="1"/>
  <c r="E585" i="1"/>
  <c r="E586" i="1"/>
  <c r="E584" i="1"/>
  <c r="C585" i="1"/>
  <c r="C586" i="1"/>
  <c r="C584" i="1"/>
  <c r="G572" i="1"/>
  <c r="G573" i="1"/>
  <c r="G574" i="1"/>
  <c r="G575" i="1"/>
  <c r="G576" i="1"/>
  <c r="G571" i="1"/>
  <c r="E572" i="1"/>
  <c r="E573" i="1"/>
  <c r="E574" i="1"/>
  <c r="E575" i="1"/>
  <c r="E576" i="1"/>
  <c r="E571" i="1"/>
  <c r="C572" i="1"/>
  <c r="C573" i="1"/>
  <c r="C574" i="1"/>
  <c r="C575" i="1"/>
  <c r="C576" i="1"/>
  <c r="C571" i="1"/>
  <c r="G249" i="1"/>
  <c r="G250" i="1"/>
  <c r="G251" i="1"/>
  <c r="G252" i="1"/>
  <c r="G253" i="1"/>
  <c r="G254" i="1"/>
  <c r="G255" i="1"/>
  <c r="G256" i="1"/>
  <c r="G248" i="1"/>
  <c r="E249" i="1"/>
  <c r="E250" i="1"/>
  <c r="E251" i="1"/>
  <c r="E252" i="1"/>
  <c r="E253" i="1"/>
  <c r="E254" i="1"/>
  <c r="E255" i="1"/>
  <c r="E256" i="1"/>
  <c r="E248" i="1"/>
  <c r="C249" i="1"/>
  <c r="C250" i="1"/>
  <c r="C251" i="1"/>
  <c r="C252" i="1"/>
  <c r="C253" i="1"/>
  <c r="C254" i="1"/>
  <c r="C255" i="1"/>
  <c r="C256" i="1"/>
  <c r="C248" i="1"/>
  <c r="Z165" i="1"/>
  <c r="X165" i="1"/>
  <c r="V165" i="1"/>
  <c r="T165" i="1"/>
  <c r="R165" i="1"/>
  <c r="P165" i="1"/>
  <c r="N165" i="1"/>
  <c r="L165" i="1"/>
  <c r="J165" i="1"/>
  <c r="H165" i="1"/>
  <c r="F165" i="1"/>
  <c r="D165" i="1"/>
  <c r="E165" i="1" s="1"/>
  <c r="B165" i="1"/>
  <c r="AB164" i="1"/>
  <c r="AC164" i="1" s="1"/>
  <c r="AA164" i="1"/>
  <c r="Y164" i="1"/>
  <c r="W164" i="1"/>
  <c r="U164" i="1"/>
  <c r="S164" i="1"/>
  <c r="Q164" i="1"/>
  <c r="O164" i="1"/>
  <c r="M164" i="1"/>
  <c r="K164" i="1"/>
  <c r="I164" i="1"/>
  <c r="G164" i="1"/>
  <c r="E164" i="1"/>
  <c r="C164" i="1"/>
  <c r="AB163" i="1"/>
  <c r="AC163" i="1" s="1"/>
  <c r="AA163" i="1"/>
  <c r="Y163" i="1"/>
  <c r="W163" i="1"/>
  <c r="U163" i="1"/>
  <c r="S163" i="1"/>
  <c r="Q163" i="1"/>
  <c r="O163" i="1"/>
  <c r="M163" i="1"/>
  <c r="K163" i="1"/>
  <c r="I163" i="1"/>
  <c r="G163" i="1"/>
  <c r="E163" i="1"/>
  <c r="C163" i="1"/>
  <c r="AB162" i="1"/>
  <c r="AC162" i="1" s="1"/>
  <c r="AA162" i="1"/>
  <c r="Y162" i="1"/>
  <c r="W162" i="1"/>
  <c r="U162" i="1"/>
  <c r="S162" i="1"/>
  <c r="Q162" i="1"/>
  <c r="O162" i="1"/>
  <c r="M162" i="1"/>
  <c r="K162" i="1"/>
  <c r="I162" i="1"/>
  <c r="G162" i="1"/>
  <c r="E162" i="1"/>
  <c r="C162" i="1"/>
  <c r="AB161" i="1"/>
  <c r="AC161" i="1" s="1"/>
  <c r="AA161" i="1"/>
  <c r="Y161" i="1"/>
  <c r="W161" i="1"/>
  <c r="U161" i="1"/>
  <c r="S161" i="1"/>
  <c r="Q161" i="1"/>
  <c r="O161" i="1"/>
  <c r="M161" i="1"/>
  <c r="K161" i="1"/>
  <c r="I161" i="1"/>
  <c r="G161" i="1"/>
  <c r="E161" i="1"/>
  <c r="C161" i="1"/>
  <c r="AB160" i="1"/>
  <c r="AC160" i="1" s="1"/>
  <c r="AA160" i="1"/>
  <c r="Y160" i="1"/>
  <c r="W160" i="1"/>
  <c r="U160" i="1"/>
  <c r="S160" i="1"/>
  <c r="Q160" i="1"/>
  <c r="O160" i="1"/>
  <c r="M160" i="1"/>
  <c r="K160" i="1"/>
  <c r="I160" i="1"/>
  <c r="G160" i="1"/>
  <c r="E160" i="1"/>
  <c r="C160" i="1"/>
  <c r="AB159" i="1"/>
  <c r="AC159" i="1" s="1"/>
  <c r="AA159" i="1"/>
  <c r="Y159" i="1"/>
  <c r="W159" i="1"/>
  <c r="U159" i="1"/>
  <c r="S159" i="1"/>
  <c r="Q159" i="1"/>
  <c r="O159" i="1"/>
  <c r="M159" i="1"/>
  <c r="K159" i="1"/>
  <c r="I159" i="1"/>
  <c r="G159" i="1"/>
  <c r="E159" i="1"/>
  <c r="C159" i="1"/>
  <c r="AB158" i="1"/>
  <c r="AC158" i="1" s="1"/>
  <c r="AA158" i="1"/>
  <c r="Y158" i="1"/>
  <c r="W158" i="1"/>
  <c r="U158" i="1"/>
  <c r="S158" i="1"/>
  <c r="Q158" i="1"/>
  <c r="O158" i="1"/>
  <c r="M158" i="1"/>
  <c r="K158" i="1"/>
  <c r="I158" i="1"/>
  <c r="G158" i="1"/>
  <c r="E158" i="1"/>
  <c r="C158" i="1"/>
  <c r="AB157" i="1"/>
  <c r="AC157" i="1" s="1"/>
  <c r="AA157" i="1"/>
  <c r="Y157" i="1"/>
  <c r="W157" i="1"/>
  <c r="U157" i="1"/>
  <c r="S157" i="1"/>
  <c r="Q157" i="1"/>
  <c r="O157" i="1"/>
  <c r="M157" i="1"/>
  <c r="K157" i="1"/>
  <c r="I157" i="1"/>
  <c r="G157" i="1"/>
  <c r="C157" i="1"/>
  <c r="AB156" i="1"/>
  <c r="AC156" i="1" s="1"/>
  <c r="AA156" i="1"/>
  <c r="Y156" i="1"/>
  <c r="W156" i="1"/>
  <c r="U156" i="1"/>
  <c r="S156" i="1"/>
  <c r="Q156" i="1"/>
  <c r="O156" i="1"/>
  <c r="M156" i="1"/>
  <c r="K156" i="1"/>
  <c r="I156" i="1"/>
  <c r="G156" i="1"/>
  <c r="C156" i="1"/>
  <c r="AB155" i="1"/>
  <c r="AC155" i="1" s="1"/>
  <c r="AA155" i="1"/>
  <c r="Y155" i="1"/>
  <c r="W155" i="1"/>
  <c r="U155" i="1"/>
  <c r="S155" i="1"/>
  <c r="Q155" i="1"/>
  <c r="O155" i="1"/>
  <c r="M155" i="1"/>
  <c r="K155" i="1"/>
  <c r="I155" i="1"/>
  <c r="G155" i="1"/>
  <c r="C155" i="1"/>
  <c r="AB154" i="1"/>
  <c r="AC154" i="1" s="1"/>
  <c r="AA154" i="1"/>
  <c r="Y154" i="1"/>
  <c r="W154" i="1"/>
  <c r="U154" i="1"/>
  <c r="S154" i="1"/>
  <c r="Q154" i="1"/>
  <c r="O154" i="1"/>
  <c r="M154" i="1"/>
  <c r="K154" i="1"/>
  <c r="I154" i="1"/>
  <c r="G154" i="1"/>
  <c r="C154" i="1"/>
  <c r="Q165" i="1" l="1"/>
  <c r="S165" i="1"/>
  <c r="M165" i="1"/>
  <c r="AA165" i="1"/>
  <c r="G165" i="1"/>
  <c r="W165" i="1"/>
  <c r="AB165" i="1"/>
  <c r="U165" i="1"/>
  <c r="K165" i="1"/>
  <c r="C165" i="1"/>
  <c r="I165" i="1"/>
  <c r="Y165" i="1"/>
  <c r="O165" i="1"/>
  <c r="AC165" i="1"/>
  <c r="F587" i="1" l="1"/>
  <c r="D587" i="1"/>
  <c r="B587" i="1"/>
  <c r="F598" i="1"/>
  <c r="D598" i="1"/>
  <c r="B598" i="1"/>
  <c r="F608" i="1"/>
  <c r="D608" i="1"/>
  <c r="B608" i="1"/>
  <c r="F618" i="1"/>
  <c r="D618" i="1"/>
  <c r="B618" i="1"/>
  <c r="E598" i="1" l="1"/>
  <c r="C587" i="1"/>
  <c r="E587" i="1"/>
  <c r="G618" i="1"/>
  <c r="G608" i="1"/>
  <c r="G598" i="1"/>
  <c r="G587" i="1"/>
  <c r="C618" i="1"/>
  <c r="E618" i="1"/>
  <c r="C608" i="1"/>
  <c r="E608" i="1"/>
  <c r="F577" i="1"/>
  <c r="D577" i="1"/>
  <c r="B577" i="1"/>
  <c r="C577" i="1" s="1"/>
  <c r="B563" i="1"/>
  <c r="C559" i="1" s="1"/>
  <c r="D563" i="1"/>
  <c r="E560" i="1" s="1"/>
  <c r="F563" i="1"/>
  <c r="G562" i="1" s="1"/>
  <c r="G577" i="1" l="1"/>
  <c r="E577" i="1"/>
  <c r="H563" i="1"/>
  <c r="C558" i="1"/>
  <c r="C557" i="1"/>
  <c r="C562" i="1"/>
  <c r="C561" i="1"/>
  <c r="C560" i="1"/>
  <c r="G560" i="1"/>
  <c r="E557" i="1"/>
  <c r="E559" i="1"/>
  <c r="E558" i="1"/>
  <c r="E562" i="1"/>
  <c r="E561" i="1"/>
  <c r="G559" i="1"/>
  <c r="G558" i="1"/>
  <c r="G557" i="1"/>
  <c r="G561" i="1"/>
  <c r="D257" i="1"/>
  <c r="F257" i="1"/>
  <c r="B257" i="1"/>
  <c r="F184" i="1"/>
  <c r="D184" i="1"/>
  <c r="B184" i="1"/>
  <c r="G47" i="1"/>
  <c r="G48" i="1"/>
  <c r="G49" i="1"/>
  <c r="G50" i="1"/>
  <c r="G51" i="1"/>
  <c r="G52" i="1"/>
  <c r="G53" i="1"/>
  <c r="G54" i="1"/>
  <c r="G55" i="1"/>
  <c r="G56" i="1"/>
  <c r="G46" i="1"/>
  <c r="E47" i="1"/>
  <c r="E48" i="1"/>
  <c r="E49" i="1"/>
  <c r="E50" i="1"/>
  <c r="E51" i="1"/>
  <c r="E52" i="1"/>
  <c r="E53" i="1"/>
  <c r="E54" i="1"/>
  <c r="E55" i="1"/>
  <c r="E56" i="1"/>
  <c r="E46" i="1"/>
  <c r="C47" i="1"/>
  <c r="C48" i="1"/>
  <c r="C49" i="1"/>
  <c r="C50" i="1"/>
  <c r="C51" i="1"/>
  <c r="C52" i="1"/>
  <c r="C53" i="1"/>
  <c r="C54" i="1"/>
  <c r="C55" i="1"/>
  <c r="C56" i="1"/>
  <c r="C46" i="1"/>
  <c r="F39" i="1"/>
  <c r="D39" i="1"/>
  <c r="B39" i="1"/>
  <c r="F30" i="1"/>
  <c r="G29" i="1" s="1"/>
  <c r="D30" i="1"/>
  <c r="B30" i="1"/>
  <c r="C28" i="1" s="1"/>
  <c r="E36" i="1" l="1"/>
  <c r="C36" i="1"/>
  <c r="C563" i="1"/>
  <c r="G563" i="1"/>
  <c r="E563" i="1"/>
  <c r="E257" i="1"/>
  <c r="C38" i="1"/>
  <c r="C22" i="1"/>
  <c r="C23" i="1"/>
  <c r="C29" i="1"/>
  <c r="E37" i="1"/>
  <c r="E38" i="1"/>
  <c r="C21" i="1"/>
  <c r="G36" i="1"/>
  <c r="C25" i="1"/>
  <c r="C37" i="1"/>
  <c r="G37" i="1"/>
  <c r="C24" i="1"/>
  <c r="C26" i="1"/>
  <c r="G38" i="1"/>
  <c r="C181" i="1"/>
  <c r="C27" i="1"/>
  <c r="C20" i="1"/>
  <c r="G25" i="1"/>
  <c r="G26" i="1"/>
  <c r="G22" i="1"/>
  <c r="G23" i="1"/>
  <c r="G28" i="1"/>
  <c r="G24" i="1"/>
  <c r="G19" i="1"/>
  <c r="G27" i="1"/>
  <c r="G20" i="1"/>
  <c r="G21" i="1"/>
  <c r="E25" i="1"/>
  <c r="E26" i="1"/>
  <c r="E23" i="1"/>
  <c r="E19" i="1"/>
  <c r="E27" i="1"/>
  <c r="E24" i="1"/>
  <c r="E20" i="1"/>
  <c r="E28" i="1"/>
  <c r="E21" i="1"/>
  <c r="E29" i="1"/>
  <c r="E22" i="1"/>
  <c r="H513" i="1"/>
  <c r="C39" i="1" l="1"/>
  <c r="E39" i="1"/>
  <c r="G30" i="1"/>
  <c r="G39" i="1"/>
  <c r="E30" i="1"/>
  <c r="C436" i="1"/>
  <c r="D436" i="1"/>
  <c r="E436" i="1"/>
  <c r="F436" i="1"/>
  <c r="G436" i="1"/>
  <c r="H436" i="1"/>
  <c r="I436" i="1"/>
  <c r="J436" i="1"/>
  <c r="K436" i="1"/>
  <c r="L436" i="1"/>
  <c r="M436" i="1"/>
  <c r="N436" i="1"/>
  <c r="O436" i="1"/>
  <c r="P436" i="1"/>
  <c r="Q436" i="1"/>
  <c r="R436" i="1"/>
  <c r="S436" i="1"/>
  <c r="T436" i="1"/>
  <c r="U436" i="1"/>
  <c r="V436" i="1"/>
  <c r="W436" i="1"/>
  <c r="X436" i="1"/>
  <c r="Y436" i="1"/>
  <c r="Z436" i="1"/>
  <c r="B436" i="1"/>
  <c r="Z435" i="1"/>
  <c r="C435" i="1"/>
  <c r="D435" i="1"/>
  <c r="E435" i="1"/>
  <c r="F435" i="1"/>
  <c r="G435" i="1"/>
  <c r="H435" i="1"/>
  <c r="I435" i="1"/>
  <c r="J435" i="1"/>
  <c r="K435" i="1"/>
  <c r="L435" i="1"/>
  <c r="M435" i="1"/>
  <c r="N435" i="1"/>
  <c r="O435" i="1"/>
  <c r="P435" i="1"/>
  <c r="Q435" i="1"/>
  <c r="R435" i="1"/>
  <c r="S435" i="1"/>
  <c r="T435" i="1"/>
  <c r="U435" i="1"/>
  <c r="V435" i="1"/>
  <c r="W435" i="1"/>
  <c r="X435" i="1"/>
  <c r="Y435" i="1"/>
  <c r="B435" i="1"/>
  <c r="Y434" i="1"/>
  <c r="Z434" i="1"/>
  <c r="C434" i="1"/>
  <c r="D434" i="1"/>
  <c r="E434" i="1"/>
  <c r="F434" i="1"/>
  <c r="G434" i="1"/>
  <c r="H434" i="1"/>
  <c r="I434" i="1"/>
  <c r="J434" i="1"/>
  <c r="K434" i="1"/>
  <c r="L434" i="1"/>
  <c r="M434" i="1"/>
  <c r="N434" i="1"/>
  <c r="O434" i="1"/>
  <c r="P434" i="1"/>
  <c r="Q434" i="1"/>
  <c r="R434" i="1"/>
  <c r="S434" i="1"/>
  <c r="T434" i="1"/>
  <c r="U434" i="1"/>
  <c r="V434" i="1"/>
  <c r="W434" i="1"/>
  <c r="X434" i="1"/>
  <c r="B434" i="1"/>
  <c r="H367" i="1" l="1"/>
  <c r="I367" i="1"/>
  <c r="H368" i="1"/>
  <c r="I368" i="1"/>
  <c r="H369" i="1"/>
  <c r="I369" i="1"/>
  <c r="H370" i="1"/>
  <c r="I370" i="1"/>
  <c r="H371" i="1"/>
  <c r="I371" i="1"/>
  <c r="H372" i="1"/>
  <c r="I372" i="1"/>
  <c r="H373" i="1"/>
  <c r="I373" i="1"/>
  <c r="I366" i="1"/>
  <c r="H366" i="1"/>
  <c r="F312" i="1"/>
  <c r="E312" i="1"/>
  <c r="D312" i="1"/>
  <c r="C312" i="1"/>
  <c r="B312" i="1"/>
  <c r="F311" i="1"/>
  <c r="E311" i="1"/>
  <c r="D311" i="1"/>
  <c r="C311" i="1"/>
  <c r="B311" i="1"/>
  <c r="F310" i="1"/>
  <c r="E310" i="1"/>
  <c r="D310" i="1"/>
  <c r="C310" i="1"/>
  <c r="B310" i="1"/>
  <c r="F309" i="1"/>
  <c r="E309" i="1"/>
  <c r="D309" i="1"/>
  <c r="C309" i="1"/>
  <c r="B309" i="1"/>
  <c r="C308" i="1"/>
  <c r="D308" i="1"/>
  <c r="E308" i="1"/>
  <c r="F308" i="1"/>
  <c r="B308" i="1"/>
  <c r="K125" i="1" l="1"/>
  <c r="K124" i="1"/>
  <c r="I64" i="1"/>
  <c r="H130" i="1"/>
  <c r="I130" i="1"/>
  <c r="J130" i="1"/>
  <c r="C128" i="1"/>
  <c r="K128" i="1" s="1"/>
  <c r="D127" i="1"/>
  <c r="C127" i="1"/>
  <c r="E126" i="1"/>
  <c r="D126" i="1"/>
  <c r="C126" i="1"/>
  <c r="B126" i="1"/>
  <c r="E123" i="1"/>
  <c r="D123" i="1"/>
  <c r="C123" i="1"/>
  <c r="B123" i="1"/>
  <c r="G122" i="1"/>
  <c r="F122" i="1"/>
  <c r="E122" i="1"/>
  <c r="D122" i="1"/>
  <c r="C122" i="1"/>
  <c r="B122" i="1"/>
  <c r="G121" i="1"/>
  <c r="F121" i="1"/>
  <c r="E121" i="1"/>
  <c r="D121" i="1"/>
  <c r="C121" i="1"/>
  <c r="B121" i="1"/>
  <c r="H107" i="1"/>
  <c r="I107" i="1" s="1"/>
  <c r="H108" i="1"/>
  <c r="I108" i="1" s="1"/>
  <c r="H109" i="1"/>
  <c r="I109" i="1" s="1"/>
  <c r="H110" i="1"/>
  <c r="I110" i="1" s="1"/>
  <c r="H111" i="1"/>
  <c r="I111" i="1" s="1"/>
  <c r="H112" i="1"/>
  <c r="I112" i="1" s="1"/>
  <c r="H113" i="1"/>
  <c r="I113" i="1" s="1"/>
  <c r="H114" i="1"/>
  <c r="I114" i="1" s="1"/>
  <c r="H106" i="1"/>
  <c r="I106" i="1" s="1"/>
  <c r="G107" i="1"/>
  <c r="G108" i="1"/>
  <c r="G109" i="1"/>
  <c r="G110" i="1"/>
  <c r="G111" i="1"/>
  <c r="G112" i="1"/>
  <c r="G113" i="1"/>
  <c r="G114" i="1"/>
  <c r="G106" i="1"/>
  <c r="F115" i="1"/>
  <c r="G115" i="1" s="1"/>
  <c r="E107" i="1"/>
  <c r="E108" i="1"/>
  <c r="E109" i="1"/>
  <c r="E110" i="1"/>
  <c r="E111" i="1"/>
  <c r="E112" i="1"/>
  <c r="E113" i="1"/>
  <c r="E114" i="1"/>
  <c r="E106" i="1"/>
  <c r="D115" i="1"/>
  <c r="E115" i="1" s="1"/>
  <c r="C113" i="1"/>
  <c r="C107" i="1"/>
  <c r="C108" i="1"/>
  <c r="C109" i="1"/>
  <c r="C110" i="1"/>
  <c r="C111" i="1"/>
  <c r="C112" i="1"/>
  <c r="C114" i="1"/>
  <c r="C106" i="1"/>
  <c r="B115" i="1"/>
  <c r="C115" i="1" s="1"/>
  <c r="K123" i="1" l="1"/>
  <c r="G130" i="1"/>
  <c r="F130" i="1"/>
  <c r="K122" i="1"/>
  <c r="E130" i="1"/>
  <c r="B130" i="1"/>
  <c r="K126" i="1"/>
  <c r="K127" i="1"/>
  <c r="D130" i="1"/>
  <c r="K121" i="1"/>
  <c r="C130" i="1"/>
  <c r="H115" i="1"/>
  <c r="I115" i="1" s="1"/>
  <c r="K130" i="1" l="1"/>
  <c r="C100" i="1"/>
  <c r="D100" i="1"/>
  <c r="E100" i="1"/>
  <c r="F100" i="1"/>
  <c r="G100" i="1"/>
  <c r="B100" i="1"/>
  <c r="J82" i="1"/>
  <c r="I86" i="1"/>
  <c r="C86" i="1"/>
  <c r="D86" i="1"/>
  <c r="E86" i="1"/>
  <c r="F86" i="1"/>
  <c r="G86" i="1"/>
  <c r="H86" i="1"/>
  <c r="B86" i="1"/>
  <c r="C72" i="1"/>
  <c r="D72" i="1"/>
  <c r="E72" i="1"/>
  <c r="F72" i="1"/>
  <c r="G72" i="1"/>
  <c r="H72" i="1"/>
  <c r="B72" i="1"/>
  <c r="H100" i="1" l="1"/>
  <c r="I72" i="1"/>
  <c r="H98" i="1"/>
  <c r="H96" i="1"/>
  <c r="H95" i="1"/>
  <c r="H93" i="1"/>
  <c r="H92" i="1"/>
  <c r="J86" i="1"/>
  <c r="J84" i="1"/>
  <c r="J83" i="1"/>
  <c r="J81" i="1"/>
  <c r="J79" i="1"/>
  <c r="J78" i="1"/>
  <c r="J77" i="1"/>
  <c r="I70" i="1"/>
  <c r="I68" i="1"/>
  <c r="I67" i="1"/>
  <c r="I66" i="1"/>
  <c r="I65" i="1"/>
  <c r="H97" i="1" l="1"/>
  <c r="H94" i="1"/>
  <c r="H91" i="1"/>
  <c r="J80" i="1"/>
  <c r="I69" i="1"/>
  <c r="F145" i="1" l="1"/>
  <c r="F142" i="1"/>
  <c r="F146" i="1"/>
  <c r="F144" i="1"/>
  <c r="F143" i="1"/>
  <c r="D145" i="1" l="1"/>
  <c r="D144" i="1"/>
  <c r="D146" i="1"/>
  <c r="D143" i="1"/>
  <c r="B146" i="1"/>
  <c r="B145" i="1"/>
  <c r="B144" i="1"/>
  <c r="B143" i="1"/>
  <c r="B136" i="1"/>
  <c r="F147" i="1" l="1"/>
  <c r="D147" i="1"/>
  <c r="B147" i="1"/>
  <c r="C136" i="1" s="1"/>
  <c r="H146" i="1"/>
  <c r="H145" i="1"/>
  <c r="H144" i="1"/>
  <c r="H143" i="1"/>
  <c r="H142" i="1"/>
  <c r="H141" i="1"/>
  <c r="H140" i="1"/>
  <c r="H139" i="1"/>
  <c r="H138" i="1"/>
  <c r="H137" i="1"/>
  <c r="H136" i="1"/>
  <c r="C138" i="1" l="1"/>
  <c r="C137" i="1"/>
  <c r="C140" i="1"/>
  <c r="C139" i="1"/>
  <c r="G144" i="1"/>
  <c r="G136" i="1"/>
  <c r="G143" i="1"/>
  <c r="G139" i="1"/>
  <c r="G146" i="1"/>
  <c r="G145" i="1"/>
  <c r="G137" i="1"/>
  <c r="G142" i="1"/>
  <c r="G141" i="1"/>
  <c r="G140" i="1"/>
  <c r="G138" i="1"/>
  <c r="E140" i="1"/>
  <c r="E139" i="1"/>
  <c r="E146" i="1"/>
  <c r="E138" i="1"/>
  <c r="E145" i="1"/>
  <c r="E137" i="1"/>
  <c r="E136" i="1"/>
  <c r="E142" i="1"/>
  <c r="E144" i="1"/>
  <c r="E143" i="1"/>
  <c r="E141" i="1"/>
  <c r="H147" i="1"/>
  <c r="I139" i="1" s="1"/>
  <c r="C142" i="1"/>
  <c r="C144" i="1"/>
  <c r="C141" i="1"/>
  <c r="C146" i="1"/>
  <c r="C143" i="1"/>
  <c r="C145" i="1"/>
  <c r="I145" i="1" l="1"/>
  <c r="I143" i="1"/>
  <c r="I137" i="1"/>
  <c r="G147" i="1"/>
  <c r="I140" i="1"/>
  <c r="I138" i="1"/>
  <c r="I142" i="1"/>
  <c r="I146" i="1"/>
  <c r="I141" i="1"/>
  <c r="I144" i="1"/>
  <c r="I136" i="1"/>
  <c r="E147" i="1"/>
  <c r="C147" i="1"/>
  <c r="H642" i="1"/>
  <c r="I642" i="1" s="1"/>
  <c r="H641" i="1"/>
  <c r="I641" i="1" s="1"/>
  <c r="H640" i="1"/>
  <c r="I640" i="1" s="1"/>
  <c r="H639" i="1"/>
  <c r="I639" i="1" s="1"/>
  <c r="H638" i="1"/>
  <c r="I638" i="1" s="1"/>
  <c r="H637" i="1"/>
  <c r="I637" i="1" s="1"/>
  <c r="H630" i="1"/>
  <c r="I630" i="1" s="1"/>
  <c r="H629" i="1"/>
  <c r="I629" i="1" s="1"/>
  <c r="H628" i="1"/>
  <c r="I628" i="1" s="1"/>
  <c r="H627" i="1"/>
  <c r="I627" i="1" s="1"/>
  <c r="H626" i="1"/>
  <c r="I626" i="1" s="1"/>
  <c r="H625" i="1"/>
  <c r="I625" i="1" s="1"/>
  <c r="H617" i="1"/>
  <c r="I617" i="1" s="1"/>
  <c r="H616" i="1"/>
  <c r="I616" i="1" s="1"/>
  <c r="H615" i="1"/>
  <c r="I615" i="1" s="1"/>
  <c r="H607" i="1"/>
  <c r="I607" i="1" s="1"/>
  <c r="H606" i="1"/>
  <c r="I606" i="1" s="1"/>
  <c r="H605" i="1"/>
  <c r="I605" i="1" s="1"/>
  <c r="H597" i="1"/>
  <c r="I597" i="1" s="1"/>
  <c r="H596" i="1"/>
  <c r="I596" i="1" s="1"/>
  <c r="H595" i="1"/>
  <c r="I595" i="1" s="1"/>
  <c r="H594" i="1"/>
  <c r="I594" i="1" s="1"/>
  <c r="H586" i="1"/>
  <c r="I586" i="1" s="1"/>
  <c r="H585" i="1"/>
  <c r="I585" i="1" s="1"/>
  <c r="H584" i="1"/>
  <c r="I584" i="1" s="1"/>
  <c r="H576" i="1"/>
  <c r="I576" i="1" s="1"/>
  <c r="H575" i="1"/>
  <c r="I575" i="1" s="1"/>
  <c r="H574" i="1"/>
  <c r="I574" i="1" s="1"/>
  <c r="H573" i="1"/>
  <c r="I573" i="1" s="1"/>
  <c r="H572" i="1"/>
  <c r="I572" i="1" s="1"/>
  <c r="H571" i="1"/>
  <c r="I571" i="1" s="1"/>
  <c r="H562" i="1"/>
  <c r="I562" i="1" s="1"/>
  <c r="H561" i="1"/>
  <c r="I561" i="1" s="1"/>
  <c r="H560" i="1"/>
  <c r="I560" i="1" s="1"/>
  <c r="H559" i="1"/>
  <c r="I559" i="1" s="1"/>
  <c r="H558" i="1"/>
  <c r="I558" i="1" s="1"/>
  <c r="H557" i="1"/>
  <c r="I557" i="1" s="1"/>
  <c r="H549" i="1"/>
  <c r="H548" i="1"/>
  <c r="H547" i="1"/>
  <c r="H540" i="1"/>
  <c r="H539" i="1"/>
  <c r="H538" i="1"/>
  <c r="H537" i="1"/>
  <c r="H536" i="1"/>
  <c r="H535" i="1"/>
  <c r="H528" i="1"/>
  <c r="I528" i="1" s="1"/>
  <c r="H527" i="1"/>
  <c r="I527" i="1" s="1"/>
  <c r="H526" i="1"/>
  <c r="I526" i="1" s="1"/>
  <c r="H525" i="1"/>
  <c r="I525" i="1" s="1"/>
  <c r="H524" i="1"/>
  <c r="I524" i="1" s="1"/>
  <c r="H523" i="1"/>
  <c r="I523" i="1" s="1"/>
  <c r="H522" i="1"/>
  <c r="I522" i="1" s="1"/>
  <c r="H514" i="1"/>
  <c r="H512" i="1"/>
  <c r="H505" i="1"/>
  <c r="I505" i="1" s="1"/>
  <c r="H504" i="1"/>
  <c r="I504" i="1" s="1"/>
  <c r="H503" i="1"/>
  <c r="I503" i="1" s="1"/>
  <c r="H502" i="1"/>
  <c r="I502" i="1" s="1"/>
  <c r="H501" i="1"/>
  <c r="I501" i="1" s="1"/>
  <c r="H493" i="1"/>
  <c r="H492" i="1"/>
  <c r="H491" i="1"/>
  <c r="H473" i="1"/>
  <c r="H472" i="1"/>
  <c r="H471" i="1"/>
  <c r="H483" i="1"/>
  <c r="H481" i="1"/>
  <c r="H482" i="1"/>
  <c r="H461" i="1"/>
  <c r="I461" i="1" s="1"/>
  <c r="H460" i="1"/>
  <c r="I460" i="1" s="1"/>
  <c r="H459" i="1"/>
  <c r="I459" i="1" s="1"/>
  <c r="H458" i="1"/>
  <c r="I458" i="1" s="1"/>
  <c r="H457" i="1"/>
  <c r="I457" i="1" s="1"/>
  <c r="H456" i="1"/>
  <c r="I456" i="1" s="1"/>
  <c r="H455" i="1"/>
  <c r="I455" i="1" s="1"/>
  <c r="H454" i="1"/>
  <c r="I454" i="1" s="1"/>
  <c r="H332" i="1"/>
  <c r="H355" i="1"/>
  <c r="I355" i="1" s="1"/>
  <c r="H354" i="1"/>
  <c r="I354" i="1" s="1"/>
  <c r="H353" i="1"/>
  <c r="I353" i="1" s="1"/>
  <c r="H352" i="1"/>
  <c r="I352" i="1" s="1"/>
  <c r="H351" i="1"/>
  <c r="I351" i="1" s="1"/>
  <c r="H350" i="1"/>
  <c r="I350" i="1" s="1"/>
  <c r="H349" i="1"/>
  <c r="I349" i="1" s="1"/>
  <c r="H348" i="1"/>
  <c r="I348" i="1" s="1"/>
  <c r="H333" i="1"/>
  <c r="H331" i="1"/>
  <c r="H330" i="1"/>
  <c r="F334" i="1"/>
  <c r="H323" i="1"/>
  <c r="I323" i="1" s="1"/>
  <c r="H322" i="1"/>
  <c r="I322" i="1" s="1"/>
  <c r="H321" i="1"/>
  <c r="I321" i="1" s="1"/>
  <c r="H320" i="1"/>
  <c r="I320" i="1" s="1"/>
  <c r="H319" i="1"/>
  <c r="I319" i="1" s="1"/>
  <c r="H318" i="1"/>
  <c r="I318" i="1" s="1"/>
  <c r="H317" i="1"/>
  <c r="I317" i="1" s="1"/>
  <c r="H276" i="1"/>
  <c r="I276" i="1" s="1"/>
  <c r="H275" i="1"/>
  <c r="I275" i="1" s="1"/>
  <c r="H274" i="1"/>
  <c r="I274" i="1" s="1"/>
  <c r="H273" i="1"/>
  <c r="I273" i="1" s="1"/>
  <c r="H272" i="1"/>
  <c r="I272" i="1" s="1"/>
  <c r="H271" i="1"/>
  <c r="I271" i="1" s="1"/>
  <c r="H270" i="1"/>
  <c r="I270" i="1" s="1"/>
  <c r="H269" i="1"/>
  <c r="I269" i="1" s="1"/>
  <c r="H268" i="1"/>
  <c r="I268" i="1" s="1"/>
  <c r="H267" i="1"/>
  <c r="I267" i="1" s="1"/>
  <c r="H266" i="1"/>
  <c r="I266" i="1" s="1"/>
  <c r="H265" i="1"/>
  <c r="I265" i="1" s="1"/>
  <c r="H264" i="1"/>
  <c r="I264" i="1" s="1"/>
  <c r="H263" i="1"/>
  <c r="I263" i="1" s="1"/>
  <c r="H256" i="1"/>
  <c r="I256" i="1" s="1"/>
  <c r="H255" i="1"/>
  <c r="I255" i="1" s="1"/>
  <c r="H254" i="1"/>
  <c r="I254" i="1" s="1"/>
  <c r="H253" i="1"/>
  <c r="I253" i="1" s="1"/>
  <c r="H252" i="1"/>
  <c r="I252" i="1" s="1"/>
  <c r="H251" i="1"/>
  <c r="I251" i="1" s="1"/>
  <c r="H250" i="1"/>
  <c r="I250" i="1" s="1"/>
  <c r="H249" i="1"/>
  <c r="I249" i="1" s="1"/>
  <c r="H248" i="1"/>
  <c r="I248" i="1" s="1"/>
  <c r="H242" i="1"/>
  <c r="I242" i="1" s="1"/>
  <c r="H241" i="1"/>
  <c r="I241" i="1" s="1"/>
  <c r="H240" i="1"/>
  <c r="I240" i="1" s="1"/>
  <c r="H239" i="1"/>
  <c r="I239" i="1" s="1"/>
  <c r="H238" i="1"/>
  <c r="I238" i="1" s="1"/>
  <c r="H237" i="1"/>
  <c r="I237" i="1" s="1"/>
  <c r="H236" i="1"/>
  <c r="I236" i="1" s="1"/>
  <c r="H235" i="1"/>
  <c r="I235" i="1" s="1"/>
  <c r="H234" i="1"/>
  <c r="I234" i="1" s="1"/>
  <c r="H233" i="1"/>
  <c r="I233" i="1" s="1"/>
  <c r="H223" i="1"/>
  <c r="I223" i="1" s="1"/>
  <c r="H222" i="1"/>
  <c r="I222" i="1" s="1"/>
  <c r="H227" i="1"/>
  <c r="I227" i="1" s="1"/>
  <c r="H226" i="1"/>
  <c r="I226" i="1" s="1"/>
  <c r="H225" i="1"/>
  <c r="I225" i="1" s="1"/>
  <c r="H224" i="1"/>
  <c r="I224" i="1" s="1"/>
  <c r="H221" i="1"/>
  <c r="I221" i="1" s="1"/>
  <c r="H220" i="1"/>
  <c r="I220" i="1" s="1"/>
  <c r="H219" i="1"/>
  <c r="I219" i="1" s="1"/>
  <c r="I587" i="1" l="1"/>
  <c r="I608" i="1"/>
  <c r="I618" i="1"/>
  <c r="I598" i="1"/>
  <c r="I577" i="1"/>
  <c r="I563" i="1"/>
  <c r="H257" i="1"/>
  <c r="I147" i="1"/>
  <c r="D334" i="1"/>
  <c r="H56" i="1" l="1"/>
  <c r="I56" i="1" s="1"/>
  <c r="H55" i="1"/>
  <c r="I55" i="1" s="1"/>
  <c r="H54" i="1"/>
  <c r="I54" i="1" s="1"/>
  <c r="H53" i="1"/>
  <c r="I53" i="1" s="1"/>
  <c r="H52" i="1"/>
  <c r="I52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183" i="1"/>
  <c r="H182" i="1"/>
  <c r="H181" i="1"/>
  <c r="B334" i="1" l="1"/>
  <c r="H334" i="1" s="1"/>
  <c r="I331" i="1" s="1"/>
  <c r="F550" i="1"/>
  <c r="G549" i="1" s="1"/>
  <c r="D550" i="1"/>
  <c r="E549" i="1" s="1"/>
  <c r="B550" i="1"/>
  <c r="F515" i="1"/>
  <c r="G514" i="1" s="1"/>
  <c r="D515" i="1"/>
  <c r="E514" i="1" s="1"/>
  <c r="B515" i="1"/>
  <c r="F494" i="1"/>
  <c r="G493" i="1" s="1"/>
  <c r="D494" i="1"/>
  <c r="E492" i="1" s="1"/>
  <c r="B494" i="1"/>
  <c r="F484" i="1"/>
  <c r="G483" i="1" s="1"/>
  <c r="D484" i="1"/>
  <c r="E483" i="1" s="1"/>
  <c r="B484" i="1"/>
  <c r="F474" i="1"/>
  <c r="G472" i="1" s="1"/>
  <c r="D474" i="1"/>
  <c r="E471" i="1" s="1"/>
  <c r="B474" i="1"/>
  <c r="G332" i="1"/>
  <c r="E332" i="1"/>
  <c r="C332" i="1" l="1"/>
  <c r="C514" i="1"/>
  <c r="H515" i="1"/>
  <c r="I514" i="1" s="1"/>
  <c r="C471" i="1"/>
  <c r="H474" i="1"/>
  <c r="I473" i="1" s="1"/>
  <c r="H608" i="1"/>
  <c r="C493" i="1"/>
  <c r="H494" i="1"/>
  <c r="I491" i="1" s="1"/>
  <c r="C549" i="1"/>
  <c r="H550" i="1"/>
  <c r="I549" i="1" s="1"/>
  <c r="H577" i="1"/>
  <c r="H598" i="1"/>
  <c r="H618" i="1"/>
  <c r="H587" i="1"/>
  <c r="C483" i="1"/>
  <c r="H484" i="1"/>
  <c r="I482" i="1" s="1"/>
  <c r="E333" i="1"/>
  <c r="G333" i="1"/>
  <c r="I333" i="1"/>
  <c r="C333" i="1"/>
  <c r="E547" i="1"/>
  <c r="E548" i="1"/>
  <c r="G547" i="1"/>
  <c r="G548" i="1"/>
  <c r="C548" i="1"/>
  <c r="C547" i="1"/>
  <c r="G481" i="1"/>
  <c r="G512" i="1"/>
  <c r="E512" i="1"/>
  <c r="E513" i="1"/>
  <c r="G513" i="1"/>
  <c r="C492" i="1"/>
  <c r="C513" i="1"/>
  <c r="C512" i="1"/>
  <c r="E491" i="1"/>
  <c r="G491" i="1"/>
  <c r="G482" i="1"/>
  <c r="E493" i="1"/>
  <c r="E473" i="1"/>
  <c r="G473" i="1"/>
  <c r="G492" i="1"/>
  <c r="I332" i="1"/>
  <c r="C482" i="1"/>
  <c r="C491" i="1"/>
  <c r="E482" i="1"/>
  <c r="C481" i="1"/>
  <c r="E481" i="1"/>
  <c r="G331" i="1"/>
  <c r="I330" i="1"/>
  <c r="G471" i="1"/>
  <c r="E331" i="1"/>
  <c r="C473" i="1"/>
  <c r="C472" i="1"/>
  <c r="E472" i="1"/>
  <c r="C331" i="1"/>
  <c r="C330" i="1"/>
  <c r="E330" i="1"/>
  <c r="G330" i="1"/>
  <c r="I547" i="1" l="1"/>
  <c r="I492" i="1"/>
  <c r="I483" i="1"/>
  <c r="G494" i="1"/>
  <c r="I472" i="1"/>
  <c r="I471" i="1"/>
  <c r="I493" i="1"/>
  <c r="I548" i="1"/>
  <c r="I481" i="1"/>
  <c r="I513" i="1"/>
  <c r="I512" i="1"/>
  <c r="C474" i="1"/>
  <c r="G550" i="1"/>
  <c r="G515" i="1"/>
  <c r="G484" i="1"/>
  <c r="G474" i="1"/>
  <c r="I334" i="1"/>
  <c r="G334" i="1"/>
  <c r="E550" i="1"/>
  <c r="E515" i="1"/>
  <c r="E494" i="1"/>
  <c r="E484" i="1"/>
  <c r="E474" i="1"/>
  <c r="E334" i="1"/>
  <c r="C598" i="1"/>
  <c r="C494" i="1"/>
  <c r="C515" i="1"/>
  <c r="C550" i="1"/>
  <c r="C484" i="1"/>
  <c r="C334" i="1"/>
  <c r="I494" i="1" l="1"/>
  <c r="I550" i="1"/>
  <c r="I474" i="1"/>
  <c r="I484" i="1"/>
  <c r="I515" i="1"/>
  <c r="I257" i="1" l="1"/>
  <c r="C257" i="1"/>
  <c r="G257" i="1"/>
  <c r="E183" i="1"/>
  <c r="C183" i="1"/>
  <c r="D57" i="1"/>
  <c r="E57" i="1" s="1"/>
  <c r="F57" i="1"/>
  <c r="G57" i="1" s="1"/>
  <c r="B57" i="1"/>
  <c r="C57" i="1" s="1"/>
  <c r="H37" i="1"/>
  <c r="H38" i="1"/>
  <c r="H36" i="1"/>
  <c r="H20" i="1"/>
  <c r="H21" i="1"/>
  <c r="H22" i="1"/>
  <c r="H23" i="1"/>
  <c r="H24" i="1"/>
  <c r="H25" i="1"/>
  <c r="H26" i="1"/>
  <c r="H27" i="1"/>
  <c r="H28" i="1"/>
  <c r="H29" i="1"/>
  <c r="H19" i="1"/>
  <c r="H11" i="1"/>
  <c r="H12" i="1"/>
  <c r="H10" i="1"/>
  <c r="D13" i="1"/>
  <c r="E12" i="1" s="1"/>
  <c r="F13" i="1"/>
  <c r="G12" i="1" s="1"/>
  <c r="B13" i="1"/>
  <c r="H57" i="1" l="1"/>
  <c r="I57" i="1" s="1"/>
  <c r="G182" i="1"/>
  <c r="H184" i="1"/>
  <c r="G10" i="1"/>
  <c r="G11" i="1"/>
  <c r="G183" i="1"/>
  <c r="E10" i="1"/>
  <c r="E11" i="1"/>
  <c r="E181" i="1"/>
  <c r="E182" i="1"/>
  <c r="H13" i="1"/>
  <c r="I12" i="1" s="1"/>
  <c r="G181" i="1"/>
  <c r="C182" i="1"/>
  <c r="C184" i="1" s="1"/>
  <c r="C10" i="1"/>
  <c r="C11" i="1"/>
  <c r="C12" i="1"/>
  <c r="C19" i="1"/>
  <c r="C30" i="1" s="1"/>
  <c r="H30" i="1"/>
  <c r="I23" i="1" s="1"/>
  <c r="H39" i="1"/>
  <c r="E184" i="1" l="1"/>
  <c r="I20" i="1"/>
  <c r="G184" i="1"/>
  <c r="I29" i="1"/>
  <c r="I26" i="1"/>
  <c r="I36" i="1"/>
  <c r="I38" i="1"/>
  <c r="I25" i="1"/>
  <c r="I37" i="1"/>
  <c r="I27" i="1"/>
  <c r="I22" i="1"/>
  <c r="I21" i="1"/>
  <c r="I19" i="1"/>
  <c r="I28" i="1"/>
  <c r="I24" i="1"/>
  <c r="I182" i="1"/>
  <c r="I183" i="1"/>
  <c r="I181" i="1"/>
  <c r="G13" i="1"/>
  <c r="E13" i="1"/>
  <c r="I11" i="1"/>
  <c r="I10" i="1"/>
  <c r="C13" i="1"/>
  <c r="I184" i="1" l="1"/>
  <c r="I30" i="1"/>
  <c r="I39" i="1"/>
  <c r="I13" i="1"/>
  <c r="G308" i="1" l="1"/>
  <c r="G283" i="1"/>
  <c r="G310" i="1"/>
  <c r="G285" i="1"/>
  <c r="G287" i="1"/>
  <c r="G312" i="1"/>
  <c r="G302" i="1"/>
  <c r="G293" i="1"/>
  <c r="G301" i="1"/>
  <c r="G303" i="1"/>
  <c r="G284" i="1"/>
  <c r="G309" i="1"/>
  <c r="G311" i="1"/>
  <c r="G286" i="1"/>
  <c r="G291" i="1"/>
  <c r="G292" i="1"/>
  <c r="G299" i="1"/>
  <c r="G300" i="1"/>
  <c r="G294" i="1"/>
  <c r="G295" i="1"/>
</calcChain>
</file>

<file path=xl/sharedStrings.xml><?xml version="1.0" encoding="utf-8"?>
<sst xmlns="http://schemas.openxmlformats.org/spreadsheetml/2006/main" count="991" uniqueCount="317">
  <si>
    <t>A. Kiinteistöä koskevat tiedot</t>
  </si>
  <si>
    <t>1. Onko kiinteistönne?</t>
  </si>
  <si>
    <t>Omakotitalo</t>
  </si>
  <si>
    <t>Paritalo</t>
  </si>
  <si>
    <t>Muu</t>
  </si>
  <si>
    <t>n</t>
  </si>
  <si>
    <t>%</t>
  </si>
  <si>
    <t>Espoo, Kauniainen</t>
  </si>
  <si>
    <t>Helsinki</t>
  </si>
  <si>
    <t>Vantaa</t>
  </si>
  <si>
    <t>Yhteensä</t>
  </si>
  <si>
    <t>2. Mikä on päärakennuksen rakentamisvuosi?</t>
  </si>
  <si>
    <t>ennen 1920</t>
  </si>
  <si>
    <t>1920-1929</t>
  </si>
  <si>
    <t>1930-1939</t>
  </si>
  <si>
    <t>1940-1949</t>
  </si>
  <si>
    <t>1950-1959</t>
  </si>
  <si>
    <t>1960-1969</t>
  </si>
  <si>
    <t>1970-1979</t>
  </si>
  <si>
    <t>1980-1989</t>
  </si>
  <si>
    <t>1990-1999</t>
  </si>
  <si>
    <t>2000-2009</t>
  </si>
  <si>
    <t>2010-</t>
  </si>
  <si>
    <t>3. Onko lämmitysjärjestelmään liittyen tehty peruskorjausta?</t>
  </si>
  <si>
    <t>Kyllä</t>
  </si>
  <si>
    <t>Ei</t>
  </si>
  <si>
    <t>En osaa sanoa</t>
  </si>
  <si>
    <t>4. Minä vuonna viimeisin lämmitysjärjestelmän peruskorjaus on tehty?</t>
  </si>
  <si>
    <t>8. Mikäli teillä on puukattila tai kaksoispesäkattila, onko siihen liitetty lämminvesivaraaja ja mikä on sen tilavuus?</t>
  </si>
  <si>
    <t>Ei ole puu- tai kaksoispesäkattilaa</t>
  </si>
  <si>
    <t>11. Mitä polttopuun raaka-ainelähteitä käytitte ja mten polttopuu hankittiin?</t>
  </si>
  <si>
    <t>Omasta metsästä hankitusta rangasta itse pilkottuna</t>
  </si>
  <si>
    <t>Omasta metsästä hankitusta rangasta teettäen pilkkomistyö</t>
  </si>
  <si>
    <t>Ostetusta rangasta itse pilkkoen tai pilkkomistyö teettäen</t>
  </si>
  <si>
    <t>Ilmaiseksi saadusta rangasta itse pilkkoen tai pilkkomistyö teettäen</t>
  </si>
  <si>
    <t>Oma rakennusjätepuuta</t>
  </si>
  <si>
    <t>Ilmaiseksi saatua rakennus- ja sahausjätepuuta</t>
  </si>
  <si>
    <t>Muuta puuta</t>
  </si>
  <si>
    <t>Ostettua pellettiä tai brikettiä</t>
  </si>
  <si>
    <t>12. Miten arvionne mukaan hankitte polttopuun viiden vuoden kuluttua?</t>
  </si>
  <si>
    <t>Jotenkin muuten</t>
  </si>
  <si>
    <t>13. Mikä olisi mielestänne paras tapa ostaa polttopuita?</t>
  </si>
  <si>
    <t xml:space="preserve">14. Mitkä tekijät koette tärkeiksi polttopuita hankkiessanne? </t>
  </si>
  <si>
    <t>15. Kuinka todennäköisesti ostaisitte seuraavia palveluita, jos niitä tarjottaisiin?</t>
  </si>
  <si>
    <t>16. Miten varastoitte polttopuun?</t>
  </si>
  <si>
    <t>17. Säilyykö polttopuu kuivana varastossanne?</t>
  </si>
  <si>
    <t>28. Kuinka täyteen täytätte kiukaan tulipesän sytytysvaiheessa?</t>
  </si>
  <si>
    <t>31. Poltatteko yleensä tulisijassa seuraavia materiaaleja ja paljonko lämmityskerralla yhteensä?</t>
  </si>
  <si>
    <t>32. Millainen on asuinrakennuksenne ilmanvaihtojärjestelmä?</t>
  </si>
  <si>
    <t>34. Miten tulisijan palamisilman saanti on järjestetty?</t>
  </si>
  <si>
    <t>35. Muutatteko tulisijan palamisilmaventtiilien asentoa lämmityksen aikana?</t>
  </si>
  <si>
    <t>36. Onko teillä savupiipun vedosta johtuvia ongelmia ja milloin niistä on ollut eniten haittaa?</t>
  </si>
  <si>
    <t>37. Aiotteko muuttaa polttopuun käyttöä seuraavan kahden vuoden aikana?</t>
  </si>
  <si>
    <t>38. Häiritsevätkö teitä naapuritalojen savut?</t>
  </si>
  <si>
    <t>39. Koetteko, että teille aiheutuu terveys- tai viihtyisyyshaittoja puunpolton savuista?</t>
  </si>
  <si>
    <t>40. Harkitsetteko varaavan tulisijan uusimista lähivuosina?</t>
  </si>
  <si>
    <t>41. Harkitsetteko puukiukaan uusimista lähivuosina?</t>
  </si>
  <si>
    <t>42. Mitkä ovat merkittävät varaavan takan /puukiukaan ostopäätökseen vaikuttavat tekijät?</t>
  </si>
  <si>
    <t>43.  Mikä edistäisi vähäpäästöisen varaavan takan /puukiukaan hankintaa?</t>
  </si>
  <si>
    <t>Tilaaminen tutulta toimittajalta puhelimitse tai sähköpostilla</t>
  </si>
  <si>
    <t>Tilaaminen internetistä polttopuiden kauppapaikasta (esim. halkoliiteri.com)</t>
  </si>
  <si>
    <t>Tilaaminen suoraan polttopuuyrittäjän nettisivuilta tilauslomakkeella</t>
  </si>
  <si>
    <t>Tilaaminen suoraan polttopuuyrittäjältä nettisivujen yhteystietojen perusteella</t>
  </si>
  <si>
    <t>Tilaaminen lehti-ilmoituksen tai vastaavan perusteella</t>
  </si>
  <si>
    <t>Noutaminen omalla/lainatulla peräkärryllä</t>
  </si>
  <si>
    <t>Noutaminen peräkärryllä, jonka voisi vuokrata polttopuuyrittäjältä</t>
  </si>
  <si>
    <t>Ostaminen pienessä erässä esimerkiksi huoltoasemalta</t>
  </si>
  <si>
    <t>Ostaminen pienessä erässä automaatista läheltä omaa asuntoa</t>
  </si>
  <si>
    <t>Polttopuu säilyy kuivana</t>
  </si>
  <si>
    <t>Polttopuu kostuu varastoinnin aikana</t>
  </si>
  <si>
    <t>Polttopuu kastuu varastoinnin aikana</t>
  </si>
  <si>
    <t>19. Mitkä asiat ovat teille tärkeitä polttopuiden sisäsäilytyksessä?</t>
  </si>
  <si>
    <t>Muu, mikä</t>
  </si>
  <si>
    <t>Jokin muu</t>
  </si>
  <si>
    <t>Puun hinta</t>
  </si>
  <si>
    <t>Kotiin toimituksen hinta</t>
  </si>
  <si>
    <t>Puulaji</t>
  </si>
  <si>
    <t>Polttopuut ovat kuivia</t>
  </si>
  <si>
    <t>Polttopuun muu laatu; roskattomuus, vakiopituisuus, homeettomuus</t>
  </si>
  <si>
    <t>Polttopuiden ulkonäkö</t>
  </si>
  <si>
    <t>Tuttu polttopuutoimittaja</t>
  </si>
  <si>
    <t>Nopea toimitus</t>
  </si>
  <si>
    <t>Hyvä ja ystävällinen palvelu</t>
  </si>
  <si>
    <t>Puiden sopiva toimitustapa</t>
  </si>
  <si>
    <t>Sopiva toimituserän koko</t>
  </si>
  <si>
    <t>En varastoi polttopuuta</t>
  </si>
  <si>
    <t>Polttopuulle suunnitellussa tuulettuvassa puuvajassa</t>
  </si>
  <si>
    <t>Autotallissa</t>
  </si>
  <si>
    <t>Ulkona peitetyssä pinossa tai kasassa</t>
  </si>
  <si>
    <t>Ulkona peittämättömässä pinossa tai kasassa</t>
  </si>
  <si>
    <t>Räystään alla peittämättömässä pinossa</t>
  </si>
  <si>
    <t>Muualla</t>
  </si>
  <si>
    <t>Sisäsäilytyksen ulkonäkö / sopiminen sisustukseen</t>
  </si>
  <si>
    <t>Puiden saaminen lämpimään sytyttämisen helpottamiseksi</t>
  </si>
  <si>
    <t>Sisäilmaan ei tule haitallisia mikrobeja</t>
  </si>
  <si>
    <t>Siivouksen helppous</t>
  </si>
  <si>
    <t>Täyttämisen helppous</t>
  </si>
  <si>
    <t>Sijainti tulisijan lähellä</t>
  </si>
  <si>
    <t>26. Kuinka tulisijanne toimii?</t>
  </si>
  <si>
    <t>Tulisija syttyy hyvin</t>
  </si>
  <si>
    <t>Tulisija syttyy huonosti</t>
  </si>
  <si>
    <t>Lämmittää hyvin</t>
  </si>
  <si>
    <t>Lämmittää huonosti</t>
  </si>
  <si>
    <t>Savuttaa sisälle</t>
  </si>
  <si>
    <t>Piipusta tuleva savun väri pysyy tummana eikä vaalene polton aikana</t>
  </si>
  <si>
    <t>Piipusta tuleva savun värion vaaleaa tai väritöntä</t>
  </si>
  <si>
    <t>Täysi</t>
  </si>
  <si>
    <t xml:space="preserve">Puolet </t>
  </si>
  <si>
    <t>29. Kuinka täyteen täytätte kiukaan toisessa pesällisessä? sytytysvaiheessa?</t>
  </si>
  <si>
    <t>Palanut puoliksi</t>
  </si>
  <si>
    <t>Hiillokselle</t>
  </si>
  <si>
    <t>Muussa vaiheessa</t>
  </si>
  <si>
    <t>Maitopurkit tms</t>
  </si>
  <si>
    <t>Sanomalehdet</t>
  </si>
  <si>
    <t>Pahvit</t>
  </si>
  <si>
    <t>Muuta</t>
  </si>
  <si>
    <t>En polta lainkaan roskia</t>
  </si>
  <si>
    <t>Koneellinen ilmanvaihtojärjestelmä</t>
  </si>
  <si>
    <t>Painovoimainen ilmanvaihtojärjestelmä</t>
  </si>
  <si>
    <t>33. Säädättekö ilmanvaihtoa tulisijaa sytyttäessänne?</t>
  </si>
  <si>
    <t>Sammutan koneellisen ilmanvaihdon</t>
  </si>
  <si>
    <t>Säädän koneellista ilmanvaihtoa</t>
  </si>
  <si>
    <t>Asetan koneellisen ilmanvaihdon takkatoiminnolle</t>
  </si>
  <si>
    <t>Avaan tuuletusikkunan vedon parantamiseksi</t>
  </si>
  <si>
    <t>Sammutan liesituulettimen</t>
  </si>
  <si>
    <t>En tee mitään toimenpiteitä</t>
  </si>
  <si>
    <t>Tulisijalle on oma ilmaventtiili suoraan ulkoa</t>
  </si>
  <si>
    <t>Tulisija saa palamisilman huoneilmasta</t>
  </si>
  <si>
    <t>Avaan tuuletusikkunan sytytyksen ajaksi</t>
  </si>
  <si>
    <t>Pidän ikkunaa auki koko lämmityksen ajan</t>
  </si>
  <si>
    <t>Muuten</t>
  </si>
  <si>
    <t>Muutan palamisilmaventtiilien asentoa</t>
  </si>
  <si>
    <t>En muuta palamisilmaventtiilien asentoa</t>
  </si>
  <si>
    <t>Ei huonosta vedosta johtuvia ongelmia</t>
  </si>
  <si>
    <t>Ongelmia talvella</t>
  </si>
  <si>
    <t>Ongelmia keväällä</t>
  </si>
  <si>
    <t>Ongelmia kesällä</t>
  </si>
  <si>
    <t>Ongelmia syksyllä</t>
  </si>
  <si>
    <t>Käyttö pysyy samalla tasolla</t>
  </si>
  <si>
    <t>Aloitan polttopuun käytön</t>
  </si>
  <si>
    <t>Lisään polttopuun käyttöä</t>
  </si>
  <si>
    <t>Vähennän polttopuun käyttöä</t>
  </si>
  <si>
    <t>Lopetan polttopuun käytön</t>
  </si>
  <si>
    <t>En koe aiheutuvan terveys-tai viihtyisyyshaittoja</t>
  </si>
  <si>
    <t>Kyllä, naapurien savuista</t>
  </si>
  <si>
    <t>Kyllä, omista savuista</t>
  </si>
  <si>
    <t>Hinta</t>
  </si>
  <si>
    <t>Ulkonäkö</t>
  </si>
  <si>
    <t>Päästöt</t>
  </si>
  <si>
    <t>Energiatehokkuus</t>
  </si>
  <si>
    <t>Kotimaisuus</t>
  </si>
  <si>
    <t>Joku muu</t>
  </si>
  <si>
    <t xml:space="preserve">Taloudellinen tuki vähäpäästöisen tulisijan hankintaan </t>
  </si>
  <si>
    <t xml:space="preserve">Tieto tulisijojen pienhiukkas- ja muista päästöistä </t>
  </si>
  <si>
    <t xml:space="preserve">Vertailutieto eri kiuas- tai tulisijatyyppien toiminnasta </t>
  </si>
  <si>
    <t xml:space="preserve">Tieto tulisijan uusimisen taloudellisista hyödyistä </t>
  </si>
  <si>
    <t xml:space="preserve">Ympäristömerkki tulisijojen päästöjen vertailuun </t>
  </si>
  <si>
    <t>30.  Missä vaiheessa yleensä lisäätte uuden pesällisen tulipesään?</t>
  </si>
  <si>
    <t>Tulisijojen asennusvuodet</t>
  </si>
  <si>
    <t>Päälämmitysmuoto</t>
  </si>
  <si>
    <t>keskim.</t>
  </si>
  <si>
    <t>Tulisijojen lukumäärä</t>
  </si>
  <si>
    <t>1. Suora sähkölämmitys</t>
  </si>
  <si>
    <t>2. Varaava sähkölämmitys</t>
  </si>
  <si>
    <t>3. Keskuslämmitys öljyllä</t>
  </si>
  <si>
    <t>6. Uuni, takka tai muu puulämmitys</t>
  </si>
  <si>
    <t>7. Kaukolämpö</t>
  </si>
  <si>
    <t>8. Maalämpö</t>
  </si>
  <si>
    <t>10. Muu lämmitystapa</t>
  </si>
  <si>
    <t>5. Keskuslämmitys puulla varaajan kanssa</t>
  </si>
  <si>
    <t>Puuttuva tieto</t>
  </si>
  <si>
    <t>Tulisijojen lukumäärä kaupungeittain.</t>
  </si>
  <si>
    <t>lkm/talo</t>
  </si>
  <si>
    <t>PKS</t>
  </si>
  <si>
    <t>Tulisijoja keskimäärin pientaloissa eri lämmitysmuodoilla</t>
  </si>
  <si>
    <t>Varaava takka</t>
  </si>
  <si>
    <t>Leivinuuni</t>
  </si>
  <si>
    <t>Puuliesi</t>
  </si>
  <si>
    <t>Liesi-leivinuuni</t>
  </si>
  <si>
    <t>Takka-leivinuuni</t>
  </si>
  <si>
    <t>Takkasydämellä  varustettu takka</t>
  </si>
  <si>
    <t>Avotakka</t>
  </si>
  <si>
    <t>Puukamiina</t>
  </si>
  <si>
    <t>Puulämmiteinen saunankiuas</t>
  </si>
  <si>
    <t>Puukeskuslämmitys</t>
  </si>
  <si>
    <t>Öljy-puukaksoispesäkattila</t>
  </si>
  <si>
    <t>Kiertoilmatakka</t>
  </si>
  <si>
    <t>Pihakeittiöt, paljut</t>
  </si>
  <si>
    <t>Muu tulisija</t>
  </si>
  <si>
    <t xml:space="preserve">Polttopuiden pinoaminen ulkovarastoon </t>
  </si>
  <si>
    <t xml:space="preserve">Oman tulisijan käytön opastus </t>
  </si>
  <si>
    <t xml:space="preserve">Peräkärryn vuokraaminen polttopuiden kuljetukseen polttopuuyrittäjältä </t>
  </si>
  <si>
    <t>Polttopuiden kotiin toimitus pienerissä kuukausisopimuksella (esim. pahvilaatikollinen 2 kertaa kuukaudessa)</t>
  </si>
  <si>
    <t>Mobiilisovellus, joka muistuttaisi sään ja energiankulutuksen kannalta hyvästä ajankohdasta lämmittää puulla, sekä listaisi palveluntarjoajia läheltä, kuten klapiyrittäjiä.</t>
  </si>
  <si>
    <t>En ostaisi</t>
  </si>
  <si>
    <t>Ostaisin</t>
  </si>
  <si>
    <t>PK-seutu</t>
  </si>
  <si>
    <t>Epätoden-näköisesti</t>
  </si>
  <si>
    <t>varaava takka</t>
  </si>
  <si>
    <t>muu tulisija</t>
  </si>
  <si>
    <t>Asunnon pääasialliseen lämmitykseen</t>
  </si>
  <si>
    <t>Asunnon lisälämmitykseen</t>
  </si>
  <si>
    <t>Käytetään ainosastaan sähkökatkon aikana</t>
  </si>
  <si>
    <t>Pahvin, maitopurkkien ym. hävittämiseen</t>
  </si>
  <si>
    <t>Tunnelmanluontiin</t>
  </si>
  <si>
    <t>Tulisija toimii sisustuselementtinä</t>
  </si>
  <si>
    <t>Muu käyttötarkoitus</t>
  </si>
  <si>
    <t>Ruuan valmistamiseen</t>
  </si>
  <si>
    <t xml:space="preserve">21. Mihin tarkoitukseen käytätte varaavaa takkaa ja jotain muuta omistamaanne asuintilan tulisijaa pois lukien kiukaat? </t>
  </si>
  <si>
    <t>Tammi-helmikuu</t>
  </si>
  <si>
    <t>Maalis-huhtikuu</t>
  </si>
  <si>
    <t>Touko-elokuu</t>
  </si>
  <si>
    <t>Syys-lokakuu</t>
  </si>
  <si>
    <t>Marras-joulukuu</t>
  </si>
  <si>
    <t>22.Kuinka monta kertaa lämmitätte puulla keskimäärin viikossa eri kuukausina?</t>
  </si>
  <si>
    <t>Puulämmitteinen saunan kiuas</t>
  </si>
  <si>
    <t>Puu- tai kaksoispesäkattila</t>
  </si>
  <si>
    <t>Varaava takka tai muu tulisija</t>
  </si>
  <si>
    <t>Espoo,  Kauniainen</t>
  </si>
  <si>
    <t>Käyttö jakautuu melko tasaisesti eri viikonpäiville</t>
  </si>
  <si>
    <t>Maanantai</t>
  </si>
  <si>
    <t>Tiistai</t>
  </si>
  <si>
    <t>Keskiviikkko</t>
  </si>
  <si>
    <t>Torstai</t>
  </si>
  <si>
    <t>Perjantai</t>
  </si>
  <si>
    <t>Lauantai</t>
  </si>
  <si>
    <t>Sunnuntai</t>
  </si>
  <si>
    <t>Puulämmitteinen saunan kiuas (n=91)</t>
  </si>
  <si>
    <t>Puu- tai kaksoispesäkattila (n=3)</t>
  </si>
  <si>
    <t>Puulämmitteinen saunan kiuas (n=74)</t>
  </si>
  <si>
    <t>Puulämmitteinen saunan kiuas (n=108)</t>
  </si>
  <si>
    <t>Puu- tai kaksoispesäkattila (n=7)</t>
  </si>
  <si>
    <t>Puu- tai kaksoispesäkattila (n=13)</t>
  </si>
  <si>
    <t>Puulämmitteinen saunan kiuas (n=273)</t>
  </si>
  <si>
    <t>Varaava takka tai muu tulisija (n=310)</t>
  </si>
  <si>
    <t>Varaava takka tai muu tulisija (n=196)</t>
  </si>
  <si>
    <t>Varaava takka tai muu tulisija (n=263)</t>
  </si>
  <si>
    <t xml:space="preserve">24. Mihin kellonaikaan lämmitätte puulla yleisimmin? </t>
  </si>
  <si>
    <t>klo 1</t>
  </si>
  <si>
    <t>klo 2</t>
  </si>
  <si>
    <t xml:space="preserve">klo3 </t>
  </si>
  <si>
    <t>klo 4</t>
  </si>
  <si>
    <t>klo 5</t>
  </si>
  <si>
    <t>klo 6</t>
  </si>
  <si>
    <t>klo 7</t>
  </si>
  <si>
    <t>klo 8</t>
  </si>
  <si>
    <t>klo 9</t>
  </si>
  <si>
    <t>klo 10</t>
  </si>
  <si>
    <t>klo 11</t>
  </si>
  <si>
    <t>klo 12</t>
  </si>
  <si>
    <t>klo 13</t>
  </si>
  <si>
    <t>klo 14</t>
  </si>
  <si>
    <t>klo 15</t>
  </si>
  <si>
    <t>klo 16</t>
  </si>
  <si>
    <t>klo 17</t>
  </si>
  <si>
    <t>klo 18</t>
  </si>
  <si>
    <t>klo 19</t>
  </si>
  <si>
    <t>klo 20</t>
  </si>
  <si>
    <t>klo 21</t>
  </si>
  <si>
    <t>klo 22</t>
  </si>
  <si>
    <t>klo 23</t>
  </si>
  <si>
    <t>klo 24</t>
  </si>
  <si>
    <t>6. Tulisijojen lukumäärät</t>
  </si>
  <si>
    <t>7. Jos teillä on öljyjkattila tai kaksoispesäkattila, kuinka paljon on tyypillinen öljyn vuosikulutus litroina?</t>
  </si>
  <si>
    <t>Varaajan tilavuus</t>
  </si>
  <si>
    <t>10. Polttopuun käyttö eri tulisijoissa</t>
  </si>
  <si>
    <t>18. Kuinka paljon varastoitte polttopuuta?</t>
  </si>
  <si>
    <t>25. Kuinka paljon pakkanen vaikuttaa päiväkohtaiseen puun käyttömäärään tulisijoissa (ei saunan kiukaat)?</t>
  </si>
  <si>
    <t>Kuinka monta prosenttia päivässä puuta kuluu enemmän kuin nollakelillä, jos pakkasta on</t>
  </si>
  <si>
    <t>-10 astetta</t>
  </si>
  <si>
    <t>-20 astetta</t>
  </si>
  <si>
    <t>Espoo, Kaunianen</t>
  </si>
  <si>
    <t>Helsinki, n=15</t>
  </si>
  <si>
    <t>Vantaa, n=48</t>
  </si>
  <si>
    <t>PKS, n=111</t>
  </si>
  <si>
    <t>litraa, ka.</t>
  </si>
  <si>
    <t>Vantaa, n=8</t>
  </si>
  <si>
    <t>Helsinki, n=5</t>
  </si>
  <si>
    <t>PKS, n=21</t>
  </si>
  <si>
    <t>Espoo &amp; Kauniainen, n=8</t>
  </si>
  <si>
    <t>Espoo &amp; Kauniainen, n=48</t>
  </si>
  <si>
    <t>TULISIJOJEN KÄYTTÖ PÄÄKAUPUNKISEUDUN PIENTALOISSA KALENTERIVUONNA 2018</t>
  </si>
  <si>
    <t>B. Polttopuun vuosikäyttö, hankinta ja varastointi kiinteistöllä</t>
  </si>
  <si>
    <t>C. Puulla toimivien tulisijojen käyttö</t>
  </si>
  <si>
    <t>23. Jakautuuko puunkäyttö tasaisesti viikolle vai onko käyttö yleisempää joinakin päivinä?</t>
  </si>
  <si>
    <t>D. Varaavan tulisijan ja puukiukaan lämmitystavat</t>
  </si>
  <si>
    <t>E. Ajatuksia puun poltosta</t>
  </si>
  <si>
    <t>9.kysymys  katso  erillinen excel-tiedosto</t>
  </si>
  <si>
    <t>27. Avokysymys katso erillinen  word-tiedosto</t>
  </si>
  <si>
    <t>44. Avokysymys katso erillinen word-tiedosto</t>
  </si>
  <si>
    <t>20. Avokysymys katso erillinen word- tiedosto</t>
  </si>
  <si>
    <t>ka 1,772</t>
  </si>
  <si>
    <t xml:space="preserve">PKS </t>
  </si>
  <si>
    <t xml:space="preserve">Espoo, Kauniainen </t>
  </si>
  <si>
    <t>HUOM! Ne taloudet, jotka eivät käyttäneet puuta eivät vastanneet kysymyksiin 10-36.</t>
  </si>
  <si>
    <t>Takka-sydämellä  varustettu takka</t>
  </si>
  <si>
    <t>Öljy-puukaksois-pesäkattila</t>
  </si>
  <si>
    <t>Muut tulisijat</t>
  </si>
  <si>
    <t>Käyttöönottovuodet tulisijatyypeittäin</t>
  </si>
  <si>
    <t>%-osuudet laskettu kysymykseen 40 vastanneiden määrän perusteella</t>
  </si>
  <si>
    <t>Puuta käyttäviä talouksia oli seuraavasti</t>
  </si>
  <si>
    <t>Espoo, Kauniainen 319</t>
  </si>
  <si>
    <t>Helsinki 212</t>
  </si>
  <si>
    <t>Vantaa 276</t>
  </si>
  <si>
    <t>Yhteensä 807</t>
  </si>
  <si>
    <t>%-osuudet on laskettu puuta käyttävistä talouksista</t>
  </si>
  <si>
    <t>Varaava takka tai muu tulisija (n= 769)</t>
  </si>
  <si>
    <t>Puu- tai kaksoispesäkattila (n=10)</t>
  </si>
  <si>
    <t>Puu- tai kaksoispesäkattila (n=4)</t>
  </si>
  <si>
    <t>Puu- tai kaksoispesäkattila (n=19)</t>
  </si>
  <si>
    <t>Puu- tai kaksoispesäkattila (n=33)</t>
  </si>
  <si>
    <t>On puu- tai kaksoispesäkattila, jossa ei ole lämminvesivaraajaa</t>
  </si>
  <si>
    <t>On puu- tai kaksoispesäkattila, jossa on lämminvesivaraaja</t>
  </si>
  <si>
    <t>Ostettua halkoa tai pilkettä/klapia)</t>
  </si>
  <si>
    <t>Melko toden-näköisesti</t>
  </si>
  <si>
    <r>
      <t>kiinto-m</t>
    </r>
    <r>
      <rPr>
        <vertAlign val="superscript"/>
        <sz val="11"/>
        <color theme="1"/>
        <rFont val="Calibri"/>
        <family val="2"/>
        <scheme val="minor"/>
      </rPr>
      <t>3</t>
    </r>
  </si>
  <si>
    <t>Helppokäyttöisyys/yksinkertaisuus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</si>
</sst>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Border="1"/>
    <xf numFmtId="0" fontId="1" fillId="0" borderId="0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Fill="1" applyBorder="1" applyAlignment="1"/>
    <xf numFmtId="0" fontId="1" fillId="0" borderId="0" xfId="0" applyFont="1" applyBorder="1"/>
    <xf numFmtId="0" fontId="1" fillId="0" borderId="0" xfId="0" applyFont="1" applyFill="1"/>
    <xf numFmtId="0" fontId="0" fillId="0" borderId="0" xfId="0" applyFill="1"/>
    <xf numFmtId="0" fontId="1" fillId="0" borderId="1" xfId="0" applyFont="1" applyBorder="1"/>
    <xf numFmtId="2" fontId="1" fillId="0" borderId="1" xfId="0" applyNumberFormat="1" applyFont="1" applyBorder="1"/>
    <xf numFmtId="0" fontId="1" fillId="0" borderId="1" xfId="0" applyFont="1" applyFill="1" applyBorder="1"/>
    <xf numFmtId="1" fontId="1" fillId="0" borderId="1" xfId="0" applyNumberFormat="1" applyFont="1" applyBorder="1"/>
    <xf numFmtId="1" fontId="1" fillId="0" borderId="1" xfId="0" applyNumberFormat="1" applyFont="1" applyFill="1" applyBorder="1"/>
    <xf numFmtId="0" fontId="1" fillId="0" borderId="1" xfId="0" applyFont="1" applyBorder="1" applyAlignment="1">
      <alignment horizontal="left" indent="1"/>
    </xf>
    <xf numFmtId="1" fontId="0" fillId="0" borderId="1" xfId="0" applyNumberFormat="1" applyBorder="1"/>
    <xf numFmtId="164" fontId="0" fillId="0" borderId="1" xfId="0" applyNumberFormat="1" applyBorder="1"/>
    <xf numFmtId="0" fontId="1" fillId="0" borderId="0" xfId="0" applyFont="1" applyBorder="1" applyAlignment="1">
      <alignment horizontal="left" indent="1"/>
    </xf>
    <xf numFmtId="2" fontId="1" fillId="0" borderId="3" xfId="0" applyNumberFormat="1" applyFont="1" applyBorder="1"/>
    <xf numFmtId="1" fontId="1" fillId="0" borderId="3" xfId="0" applyNumberFormat="1" applyFont="1" applyBorder="1"/>
    <xf numFmtId="0" fontId="1" fillId="2" borderId="0" xfId="0" applyFont="1" applyFill="1" applyBorder="1"/>
    <xf numFmtId="0" fontId="1" fillId="2" borderId="0" xfId="0" applyFont="1" applyFill="1" applyBorder="1" applyAlignment="1">
      <alignment horizontal="left" indent="1"/>
    </xf>
    <xf numFmtId="0" fontId="0" fillId="2" borderId="0" xfId="0" applyFont="1" applyFill="1" applyBorder="1" applyAlignment="1">
      <alignment horizontal="left" indent="1"/>
    </xf>
    <xf numFmtId="1" fontId="1" fillId="2" borderId="1" xfId="0" applyNumberFormat="1" applyFont="1" applyFill="1" applyBorder="1"/>
    <xf numFmtId="0" fontId="1" fillId="2" borderId="1" xfId="0" applyFont="1" applyFill="1" applyBorder="1"/>
    <xf numFmtId="0" fontId="0" fillId="2" borderId="0" xfId="0" applyFill="1"/>
    <xf numFmtId="0" fontId="1" fillId="2" borderId="1" xfId="0" applyFont="1" applyFill="1" applyBorder="1" applyAlignment="1">
      <alignment horizontal="left" indent="1"/>
    </xf>
    <xf numFmtId="1" fontId="0" fillId="0" borderId="0" xfId="0" applyNumberFormat="1"/>
    <xf numFmtId="0" fontId="1" fillId="2" borderId="0" xfId="0" applyFont="1" applyFill="1" applyBorder="1" applyAlignment="1"/>
    <xf numFmtId="0" fontId="1" fillId="2" borderId="1" xfId="0" applyFont="1" applyFill="1" applyBorder="1" applyAlignment="1"/>
    <xf numFmtId="0" fontId="0" fillId="2" borderId="1" xfId="0" applyFont="1" applyFill="1" applyBorder="1" applyAlignment="1"/>
    <xf numFmtId="0" fontId="0" fillId="2" borderId="0" xfId="0" applyFont="1" applyFill="1" applyBorder="1" applyAlignment="1"/>
    <xf numFmtId="0" fontId="0" fillId="2" borderId="1" xfId="0" applyFont="1" applyFill="1" applyBorder="1" applyAlignment="1">
      <alignment wrapText="1"/>
    </xf>
    <xf numFmtId="0" fontId="0" fillId="0" borderId="1" xfId="0" applyFont="1" applyBorder="1" applyAlignment="1">
      <alignment horizontal="right"/>
    </xf>
    <xf numFmtId="1" fontId="0" fillId="0" borderId="1" xfId="0" applyNumberFormat="1" applyFont="1" applyBorder="1" applyAlignment="1">
      <alignment horizontal="right"/>
    </xf>
    <xf numFmtId="0" fontId="0" fillId="0" borderId="0" xfId="0" applyFont="1" applyBorder="1"/>
    <xf numFmtId="2" fontId="0" fillId="0" borderId="0" xfId="0" applyNumberFormat="1" applyFont="1" applyBorder="1"/>
    <xf numFmtId="0" fontId="1" fillId="0" borderId="0" xfId="0" applyFont="1" applyBorder="1" applyAlignment="1"/>
    <xf numFmtId="0" fontId="1" fillId="2" borderId="0" xfId="0" applyFont="1" applyFill="1"/>
    <xf numFmtId="0" fontId="1" fillId="3" borderId="0" xfId="0" applyFont="1" applyFill="1"/>
    <xf numFmtId="0" fontId="1" fillId="3" borderId="0" xfId="0" applyFont="1" applyFill="1" applyBorder="1" applyAlignment="1"/>
    <xf numFmtId="0" fontId="1" fillId="3" borderId="0" xfId="0" applyFont="1" applyFill="1" applyBorder="1"/>
    <xf numFmtId="0" fontId="1" fillId="4" borderId="0" xfId="0" applyFont="1" applyFill="1" applyBorder="1"/>
    <xf numFmtId="0" fontId="0" fillId="0" borderId="1" xfId="0" applyFont="1" applyFill="1" applyBorder="1" applyAlignment="1"/>
    <xf numFmtId="0" fontId="1" fillId="0" borderId="0" xfId="0" applyFont="1" applyFill="1" applyBorder="1" applyAlignment="1">
      <alignment wrapText="1"/>
    </xf>
    <xf numFmtId="0" fontId="1" fillId="0" borderId="1" xfId="0" applyFont="1" applyFill="1" applyBorder="1" applyAlignment="1"/>
    <xf numFmtId="0" fontId="1" fillId="3" borderId="0" xfId="0" applyFont="1" applyFill="1" applyBorder="1" applyAlignment="1">
      <alignment wrapText="1"/>
    </xf>
    <xf numFmtId="0" fontId="1" fillId="4" borderId="0" xfId="0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wrapText="1"/>
    </xf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0" fontId="1" fillId="0" borderId="0" xfId="0" applyFont="1" applyFill="1" applyBorder="1" applyAlignment="1">
      <alignment wrapText="1"/>
    </xf>
    <xf numFmtId="0" fontId="1" fillId="0" borderId="0" xfId="0" applyFont="1" applyAlignment="1"/>
    <xf numFmtId="0" fontId="0" fillId="0" borderId="3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0" xfId="0" applyFont="1"/>
    <xf numFmtId="2" fontId="0" fillId="0" borderId="0" xfId="0" applyNumberFormat="1" applyFont="1"/>
    <xf numFmtId="0" fontId="0" fillId="0" borderId="1" xfId="0" applyFont="1" applyBorder="1"/>
    <xf numFmtId="2" fontId="0" fillId="0" borderId="1" xfId="0" applyNumberFormat="1" applyFont="1" applyBorder="1"/>
    <xf numFmtId="0" fontId="0" fillId="0" borderId="1" xfId="0" applyFont="1" applyFill="1" applyBorder="1"/>
    <xf numFmtId="0" fontId="0" fillId="0" borderId="0" xfId="0" applyFont="1" applyFill="1" applyBorder="1"/>
    <xf numFmtId="0" fontId="0" fillId="0" borderId="0" xfId="0" applyFont="1" applyFill="1"/>
    <xf numFmtId="2" fontId="0" fillId="0" borderId="0" xfId="0" applyNumberFormat="1" applyFont="1" applyFill="1"/>
    <xf numFmtId="0" fontId="0" fillId="0" borderId="1" xfId="0" applyFont="1" applyBorder="1" applyAlignment="1">
      <alignment horizontal="left" indent="1"/>
    </xf>
    <xf numFmtId="0" fontId="0" fillId="2" borderId="1" xfId="0" applyFont="1" applyFill="1" applyBorder="1"/>
    <xf numFmtId="1" fontId="0" fillId="2" borderId="1" xfId="0" applyNumberFormat="1" applyFont="1" applyFill="1" applyBorder="1"/>
    <xf numFmtId="164" fontId="0" fillId="2" borderId="1" xfId="0" applyNumberFormat="1" applyFont="1" applyFill="1" applyBorder="1"/>
    <xf numFmtId="1" fontId="0" fillId="0" borderId="0" xfId="0" applyNumberFormat="1" applyFont="1"/>
    <xf numFmtId="1" fontId="0" fillId="0" borderId="0" xfId="0" applyNumberFormat="1" applyFont="1" applyBorder="1"/>
    <xf numFmtId="164" fontId="0" fillId="0" borderId="0" xfId="0" applyNumberFormat="1" applyFont="1" applyBorder="1"/>
    <xf numFmtId="164" fontId="0" fillId="0" borderId="1" xfId="0" applyNumberFormat="1" applyFont="1" applyBorder="1"/>
    <xf numFmtId="0" fontId="0" fillId="0" borderId="1" xfId="0" applyFont="1" applyBorder="1" applyAlignment="1">
      <alignment horizontal="left" wrapText="1" indent="1"/>
    </xf>
    <xf numFmtId="1" fontId="0" fillId="0" borderId="1" xfId="0" applyNumberFormat="1" applyFont="1" applyBorder="1"/>
    <xf numFmtId="1" fontId="0" fillId="0" borderId="3" xfId="0" applyNumberFormat="1" applyFont="1" applyBorder="1"/>
    <xf numFmtId="0" fontId="0" fillId="2" borderId="1" xfId="0" applyFont="1" applyFill="1" applyBorder="1" applyAlignment="1">
      <alignment horizontal="left" indent="1"/>
    </xf>
    <xf numFmtId="1" fontId="0" fillId="2" borderId="3" xfId="0" applyNumberFormat="1" applyFont="1" applyFill="1" applyBorder="1"/>
    <xf numFmtId="1" fontId="0" fillId="2" borderId="0" xfId="0" applyNumberFormat="1" applyFont="1" applyFill="1" applyBorder="1"/>
    <xf numFmtId="0" fontId="0" fillId="2" borderId="0" xfId="0" applyFont="1" applyFill="1"/>
    <xf numFmtId="0" fontId="0" fillId="2" borderId="1" xfId="0" applyFont="1" applyFill="1" applyBorder="1" applyAlignment="1">
      <alignment horizontal="left" wrapText="1" indent="1"/>
    </xf>
    <xf numFmtId="164" fontId="0" fillId="2" borderId="0" xfId="0" applyNumberFormat="1" applyFont="1" applyFill="1" applyBorder="1"/>
    <xf numFmtId="1" fontId="0" fillId="2" borderId="3" xfId="0" applyNumberFormat="1" applyFont="1" applyFill="1" applyBorder="1" applyAlignment="1"/>
    <xf numFmtId="0" fontId="0" fillId="0" borderId="2" xfId="0" applyFont="1" applyBorder="1" applyAlignment="1"/>
    <xf numFmtId="164" fontId="0" fillId="2" borderId="3" xfId="0" applyNumberFormat="1" applyFont="1" applyFill="1" applyBorder="1" applyAlignment="1"/>
    <xf numFmtId="0" fontId="0" fillId="2" borderId="0" xfId="0" applyFont="1" applyFill="1" applyBorder="1"/>
    <xf numFmtId="2" fontId="0" fillId="2" borderId="0" xfId="0" applyNumberFormat="1" applyFont="1" applyFill="1" applyBorder="1"/>
    <xf numFmtId="2" fontId="0" fillId="2" borderId="1" xfId="0" applyNumberFormat="1" applyFont="1" applyFill="1" applyBorder="1"/>
    <xf numFmtId="0" fontId="0" fillId="0" borderId="3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3" borderId="0" xfId="0" applyFont="1" applyFill="1" applyBorder="1"/>
    <xf numFmtId="2" fontId="0" fillId="3" borderId="0" xfId="0" applyNumberFormat="1" applyFont="1" applyFill="1" applyBorder="1"/>
    <xf numFmtId="0" fontId="0" fillId="0" borderId="1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4" borderId="0" xfId="0" applyFont="1" applyFill="1"/>
    <xf numFmtId="0" fontId="0" fillId="0" borderId="2" xfId="0" applyFont="1" applyBorder="1"/>
    <xf numFmtId="0" fontId="0" fillId="0" borderId="1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2" fontId="0" fillId="2" borderId="0" xfId="0" applyNumberFormat="1" applyFont="1" applyFill="1"/>
    <xf numFmtId="0" fontId="0" fillId="0" borderId="0" xfId="0" applyFont="1" applyAlignment="1"/>
    <xf numFmtId="0" fontId="0" fillId="0" borderId="0" xfId="0" applyFont="1" applyAlignment="1"/>
    <xf numFmtId="0" fontId="0" fillId="4" borderId="0" xfId="0" applyFont="1" applyFill="1" applyAlignment="1"/>
    <xf numFmtId="2" fontId="0" fillId="0" borderId="1" xfId="0" applyNumberFormat="1" applyFont="1" applyBorder="1" applyAlignment="1">
      <alignment wrapText="1"/>
    </xf>
    <xf numFmtId="2" fontId="0" fillId="0" borderId="0" xfId="0" applyNumberFormat="1" applyFont="1" applyBorder="1" applyAlignment="1">
      <alignment wrapText="1"/>
    </xf>
    <xf numFmtId="0" fontId="0" fillId="0" borderId="2" xfId="0" applyFont="1" applyFill="1" applyBorder="1" applyAlignment="1">
      <alignment wrapText="1"/>
    </xf>
    <xf numFmtId="2" fontId="0" fillId="0" borderId="1" xfId="0" applyNumberFormat="1" applyFont="1" applyFill="1" applyBorder="1"/>
    <xf numFmtId="1" fontId="0" fillId="0" borderId="1" xfId="0" applyNumberFormat="1" applyFont="1" applyFill="1" applyBorder="1"/>
    <xf numFmtId="164" fontId="0" fillId="0" borderId="1" xfId="0" applyNumberFormat="1" applyFont="1" applyFill="1" applyBorder="1"/>
    <xf numFmtId="0" fontId="0" fillId="0" borderId="4" xfId="0" applyFont="1" applyBorder="1"/>
    <xf numFmtId="0" fontId="0" fillId="0" borderId="0" xfId="0" applyFont="1" applyBorder="1" applyAlignment="1"/>
    <xf numFmtId="49" fontId="0" fillId="0" borderId="1" xfId="0" applyNumberFormat="1" applyFont="1" applyBorder="1"/>
    <xf numFmtId="0" fontId="0" fillId="3" borderId="0" xfId="0" applyFont="1" applyFill="1" applyAlignment="1"/>
    <xf numFmtId="0" fontId="0" fillId="0" borderId="1" xfId="1" applyFont="1" applyBorder="1" applyAlignment="1">
      <alignment wrapText="1"/>
    </xf>
    <xf numFmtId="0" fontId="0" fillId="0" borderId="1" xfId="1" applyFont="1" applyBorder="1" applyAlignment="1">
      <alignment horizontal="left" wrapText="1"/>
    </xf>
    <xf numFmtId="0" fontId="0" fillId="0" borderId="1" xfId="1" applyFont="1" applyBorder="1" applyAlignment="1">
      <alignment horizontal="center" wrapText="1"/>
    </xf>
    <xf numFmtId="0" fontId="0" fillId="0" borderId="0" xfId="1" applyFont="1" applyBorder="1" applyAlignment="1">
      <alignment horizontal="center" wrapText="1"/>
    </xf>
    <xf numFmtId="0" fontId="0" fillId="0" borderId="1" xfId="1" applyFont="1" applyBorder="1" applyAlignment="1">
      <alignment horizontal="right" wrapText="1"/>
    </xf>
    <xf numFmtId="0" fontId="0" fillId="0" borderId="1" xfId="1" applyFont="1" applyBorder="1" applyAlignment="1">
      <alignment horizontal="right"/>
    </xf>
    <xf numFmtId="0" fontId="4" fillId="0" borderId="1" xfId="1" applyFont="1" applyBorder="1" applyAlignment="1">
      <alignment wrapText="1"/>
    </xf>
  </cellXfs>
  <cellStyles count="2">
    <cellStyle name="Normaali" xfId="0" builtinId="0"/>
    <cellStyle name="Normal" xfId="1" xr:uid="{397811A9-1752-4FC6-A908-D98D95E49C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F0BE1-D9B2-4152-AC50-983B4AA3B6C7}">
  <dimension ref="A1:AJ645"/>
  <sheetViews>
    <sheetView tabSelected="1" topLeftCell="A625" zoomScale="91" zoomScaleNormal="91" workbookViewId="0">
      <selection activeCell="A351" sqref="A351"/>
    </sheetView>
  </sheetViews>
  <sheetFormatPr defaultRowHeight="15" x14ac:dyDescent="0.25"/>
  <cols>
    <col min="1" max="1" width="33.7109375" style="60" customWidth="1"/>
    <col min="2" max="2" width="9.140625" style="60"/>
    <col min="3" max="3" width="9.140625" style="61"/>
    <col min="4" max="4" width="9.140625" style="60"/>
    <col min="5" max="5" width="9.140625" style="61"/>
    <col min="6" max="6" width="9.140625" style="60"/>
    <col min="7" max="7" width="9.140625" style="61"/>
    <col min="8" max="8" width="9.140625" style="60"/>
    <col min="9" max="9" width="9.140625" style="61"/>
    <col min="10" max="10" width="9.140625" style="60"/>
    <col min="11" max="11" width="9.5703125" style="60" bestFit="1" customWidth="1"/>
    <col min="12" max="25" width="9.140625" style="60"/>
  </cols>
  <sheetData>
    <row r="1" spans="1:9" x14ac:dyDescent="0.25">
      <c r="A1" s="1" t="s">
        <v>281</v>
      </c>
    </row>
    <row r="4" spans="1:9" x14ac:dyDescent="0.25">
      <c r="A4" s="40" t="s">
        <v>0</v>
      </c>
    </row>
    <row r="6" spans="1:9" x14ac:dyDescent="0.25">
      <c r="A6" s="1" t="s">
        <v>1</v>
      </c>
    </row>
    <row r="8" spans="1:9" x14ac:dyDescent="0.25">
      <c r="A8" s="62"/>
      <c r="B8" s="62" t="s">
        <v>7</v>
      </c>
      <c r="C8" s="63"/>
      <c r="D8" s="62" t="s">
        <v>8</v>
      </c>
      <c r="E8" s="63"/>
      <c r="F8" s="62" t="s">
        <v>9</v>
      </c>
      <c r="G8" s="63"/>
      <c r="H8" s="62" t="s">
        <v>10</v>
      </c>
      <c r="I8" s="63"/>
    </row>
    <row r="9" spans="1:9" x14ac:dyDescent="0.25">
      <c r="A9" s="62"/>
      <c r="B9" s="62" t="s">
        <v>5</v>
      </c>
      <c r="C9" s="63" t="s">
        <v>6</v>
      </c>
      <c r="D9" s="62" t="s">
        <v>5</v>
      </c>
      <c r="E9" s="63" t="s">
        <v>6</v>
      </c>
      <c r="F9" s="62" t="s">
        <v>5</v>
      </c>
      <c r="G9" s="63" t="s">
        <v>6</v>
      </c>
      <c r="H9" s="62" t="s">
        <v>5</v>
      </c>
      <c r="I9" s="63" t="s">
        <v>6</v>
      </c>
    </row>
    <row r="10" spans="1:9" x14ac:dyDescent="0.25">
      <c r="A10" s="62" t="s">
        <v>2</v>
      </c>
      <c r="B10" s="62">
        <v>297</v>
      </c>
      <c r="C10" s="63">
        <f>(B10/B13)*100</f>
        <v>76.349614395886888</v>
      </c>
      <c r="D10" s="62">
        <v>221</v>
      </c>
      <c r="E10" s="63">
        <f>(D10/D13)*100</f>
        <v>73.666666666666671</v>
      </c>
      <c r="F10" s="62">
        <v>266</v>
      </c>
      <c r="G10" s="63">
        <f>(F10/F13)*100</f>
        <v>82.098765432098759</v>
      </c>
      <c r="H10" s="62">
        <f>(B10+D10+F10)</f>
        <v>784</v>
      </c>
      <c r="I10" s="63">
        <f>(H10/H13)*100</f>
        <v>77.3938795656466</v>
      </c>
    </row>
    <row r="11" spans="1:9" x14ac:dyDescent="0.25">
      <c r="A11" s="62" t="s">
        <v>3</v>
      </c>
      <c r="B11" s="62">
        <v>69</v>
      </c>
      <c r="C11" s="63">
        <f>(B11/B13)*100</f>
        <v>17.737789203084834</v>
      </c>
      <c r="D11" s="62">
        <v>64</v>
      </c>
      <c r="E11" s="63">
        <f>(D11/D13)*100</f>
        <v>21.333333333333336</v>
      </c>
      <c r="F11" s="62">
        <v>44</v>
      </c>
      <c r="G11" s="63">
        <f>(F11/F13)*100</f>
        <v>13.580246913580247</v>
      </c>
      <c r="H11" s="62">
        <f t="shared" ref="H11:H13" si="0">(B11+D11+F11)</f>
        <v>177</v>
      </c>
      <c r="I11" s="63">
        <f>(H11/H13)*100</f>
        <v>17.472852912142152</v>
      </c>
    </row>
    <row r="12" spans="1:9" x14ac:dyDescent="0.25">
      <c r="A12" s="62" t="s">
        <v>4</v>
      </c>
      <c r="B12" s="62">
        <v>23</v>
      </c>
      <c r="C12" s="63">
        <f>(B12/B13)*100</f>
        <v>5.9125964010282779</v>
      </c>
      <c r="D12" s="62">
        <v>15</v>
      </c>
      <c r="E12" s="63">
        <f>(D12/D13)*100</f>
        <v>5</v>
      </c>
      <c r="F12" s="62">
        <v>14</v>
      </c>
      <c r="G12" s="63">
        <f>(F12/F13)*100</f>
        <v>4.3209876543209873</v>
      </c>
      <c r="H12" s="62">
        <f t="shared" si="0"/>
        <v>52</v>
      </c>
      <c r="I12" s="63">
        <f>(H12/H13)*100</f>
        <v>5.1332675222112538</v>
      </c>
    </row>
    <row r="13" spans="1:9" x14ac:dyDescent="0.25">
      <c r="A13" s="62" t="s">
        <v>10</v>
      </c>
      <c r="B13" s="62">
        <f>SUM(B10:B12)</f>
        <v>389</v>
      </c>
      <c r="C13" s="63">
        <f t="shared" ref="C13:I13" si="1">SUM(C10:C12)</f>
        <v>100</v>
      </c>
      <c r="D13" s="62">
        <f t="shared" si="1"/>
        <v>300</v>
      </c>
      <c r="E13" s="63">
        <f t="shared" si="1"/>
        <v>100</v>
      </c>
      <c r="F13" s="62">
        <f t="shared" si="1"/>
        <v>324</v>
      </c>
      <c r="G13" s="63">
        <f t="shared" si="1"/>
        <v>100</v>
      </c>
      <c r="H13" s="62">
        <f t="shared" si="0"/>
        <v>1013</v>
      </c>
      <c r="I13" s="63">
        <f t="shared" si="1"/>
        <v>100.00000000000001</v>
      </c>
    </row>
    <row r="15" spans="1:9" x14ac:dyDescent="0.25">
      <c r="A15" s="1" t="s">
        <v>11</v>
      </c>
    </row>
    <row r="17" spans="1:9" x14ac:dyDescent="0.25">
      <c r="A17" s="62"/>
      <c r="B17" s="62" t="s">
        <v>7</v>
      </c>
      <c r="C17" s="63"/>
      <c r="D17" s="62" t="s">
        <v>8</v>
      </c>
      <c r="E17" s="63"/>
      <c r="F17" s="62" t="s">
        <v>9</v>
      </c>
      <c r="G17" s="63"/>
      <c r="H17" s="62" t="s">
        <v>10</v>
      </c>
      <c r="I17" s="63"/>
    </row>
    <row r="18" spans="1:9" x14ac:dyDescent="0.25">
      <c r="A18" s="62"/>
      <c r="B18" s="62" t="s">
        <v>5</v>
      </c>
      <c r="C18" s="63" t="s">
        <v>6</v>
      </c>
      <c r="D18" s="62" t="s">
        <v>5</v>
      </c>
      <c r="E18" s="63" t="s">
        <v>6</v>
      </c>
      <c r="F18" s="62" t="s">
        <v>5</v>
      </c>
      <c r="G18" s="63" t="s">
        <v>6</v>
      </c>
      <c r="H18" s="62" t="s">
        <v>5</v>
      </c>
      <c r="I18" s="63" t="s">
        <v>6</v>
      </c>
    </row>
    <row r="19" spans="1:9" x14ac:dyDescent="0.25">
      <c r="A19" s="62" t="s">
        <v>12</v>
      </c>
      <c r="B19" s="62">
        <v>7</v>
      </c>
      <c r="C19" s="63">
        <f>(B19/B30)*100</f>
        <v>1.8134715025906734</v>
      </c>
      <c r="D19" s="62">
        <v>8</v>
      </c>
      <c r="E19" s="63">
        <f>(D19/D30)*100</f>
        <v>2.7118644067796609</v>
      </c>
      <c r="F19" s="62">
        <v>4</v>
      </c>
      <c r="G19" s="63">
        <f>(F19/F30)*100</f>
        <v>1.2383900928792571</v>
      </c>
      <c r="H19" s="62">
        <f>(B19+D19+F19)</f>
        <v>19</v>
      </c>
      <c r="I19" s="63">
        <f>(H19/H30)*100</f>
        <v>1.8924302788844622</v>
      </c>
    </row>
    <row r="20" spans="1:9" x14ac:dyDescent="0.25">
      <c r="A20" s="62" t="s">
        <v>13</v>
      </c>
      <c r="B20" s="62">
        <v>5</v>
      </c>
      <c r="C20" s="63">
        <f>(B20/B30)*100</f>
        <v>1.2953367875647668</v>
      </c>
      <c r="D20" s="62">
        <v>9</v>
      </c>
      <c r="E20" s="63">
        <f>(D20/D30)*100</f>
        <v>3.050847457627119</v>
      </c>
      <c r="F20" s="62">
        <v>4</v>
      </c>
      <c r="G20" s="63">
        <f>(F20/F30)*100</f>
        <v>1.2383900928792571</v>
      </c>
      <c r="H20" s="62">
        <f t="shared" ref="H20:H30" si="2">(B20+D20+F20)</f>
        <v>18</v>
      </c>
      <c r="I20" s="63">
        <f>(H20/H30)*100</f>
        <v>1.7928286852589643</v>
      </c>
    </row>
    <row r="21" spans="1:9" x14ac:dyDescent="0.25">
      <c r="A21" s="62" t="s">
        <v>14</v>
      </c>
      <c r="B21" s="62">
        <v>5</v>
      </c>
      <c r="C21" s="63">
        <f>(B21/B30)*100</f>
        <v>1.2953367875647668</v>
      </c>
      <c r="D21" s="62">
        <v>12</v>
      </c>
      <c r="E21" s="63">
        <f>(D21/D30)*100</f>
        <v>4.0677966101694913</v>
      </c>
      <c r="F21" s="62">
        <v>2</v>
      </c>
      <c r="G21" s="63">
        <f>(F21/F30)*100</f>
        <v>0.61919504643962853</v>
      </c>
      <c r="H21" s="62">
        <f t="shared" si="2"/>
        <v>19</v>
      </c>
      <c r="I21" s="63">
        <f>(H21/H30)*100</f>
        <v>1.8924302788844622</v>
      </c>
    </row>
    <row r="22" spans="1:9" x14ac:dyDescent="0.25">
      <c r="A22" s="62" t="s">
        <v>15</v>
      </c>
      <c r="B22" s="62">
        <v>6</v>
      </c>
      <c r="C22" s="63">
        <f>(B22/B30)*100</f>
        <v>1.5544041450777202</v>
      </c>
      <c r="D22" s="62">
        <v>13</v>
      </c>
      <c r="E22" s="63">
        <f>(D22/D30)*100</f>
        <v>4.406779661016949</v>
      </c>
      <c r="F22" s="62">
        <v>6</v>
      </c>
      <c r="G22" s="63">
        <f>(F22/F30)*100</f>
        <v>1.8575851393188854</v>
      </c>
      <c r="H22" s="62">
        <f t="shared" si="2"/>
        <v>25</v>
      </c>
      <c r="I22" s="63">
        <f>(H22/H30)*100</f>
        <v>2.4900398406374502</v>
      </c>
    </row>
    <row r="23" spans="1:9" x14ac:dyDescent="0.25">
      <c r="A23" s="62" t="s">
        <v>16</v>
      </c>
      <c r="B23" s="62">
        <v>32</v>
      </c>
      <c r="C23" s="63">
        <f>(B23/B30)*100</f>
        <v>8.2901554404145088</v>
      </c>
      <c r="D23" s="62">
        <v>41</v>
      </c>
      <c r="E23" s="63">
        <f>(D23/D30)*100</f>
        <v>13.898305084745763</v>
      </c>
      <c r="F23" s="62">
        <v>39</v>
      </c>
      <c r="G23" s="63">
        <f>(F23/F30)*100</f>
        <v>12.074303405572756</v>
      </c>
      <c r="H23" s="62">
        <f t="shared" si="2"/>
        <v>112</v>
      </c>
      <c r="I23" s="63">
        <f>(H23/H30)*100</f>
        <v>11.155378486055776</v>
      </c>
    </row>
    <row r="24" spans="1:9" x14ac:dyDescent="0.25">
      <c r="A24" s="62" t="s">
        <v>17</v>
      </c>
      <c r="B24" s="62">
        <v>35</v>
      </c>
      <c r="C24" s="63">
        <f>(B24/B30)*100</f>
        <v>9.0673575129533681</v>
      </c>
      <c r="D24" s="62">
        <v>43</v>
      </c>
      <c r="E24" s="63">
        <f>(D24/D30)*100</f>
        <v>14.576271186440678</v>
      </c>
      <c r="F24" s="62">
        <v>37</v>
      </c>
      <c r="G24" s="63">
        <f>(F24/F30)*100</f>
        <v>11.455108359133128</v>
      </c>
      <c r="H24" s="62">
        <f t="shared" si="2"/>
        <v>115</v>
      </c>
      <c r="I24" s="63">
        <f>(H24/H30)*100</f>
        <v>11.454183266932271</v>
      </c>
    </row>
    <row r="25" spans="1:9" x14ac:dyDescent="0.25">
      <c r="A25" s="62" t="s">
        <v>18</v>
      </c>
      <c r="B25" s="62">
        <v>39</v>
      </c>
      <c r="C25" s="63">
        <f>(B25/B30)*100</f>
        <v>10.103626943005182</v>
      </c>
      <c r="D25" s="62">
        <v>21</v>
      </c>
      <c r="E25" s="63">
        <f>(D25/D30)*100</f>
        <v>7.1186440677966107</v>
      </c>
      <c r="F25" s="62">
        <v>37</v>
      </c>
      <c r="G25" s="63">
        <f>(F25/F30)*100</f>
        <v>11.455108359133128</v>
      </c>
      <c r="H25" s="62">
        <f t="shared" si="2"/>
        <v>97</v>
      </c>
      <c r="I25" s="63">
        <f>(H25/H30)*100</f>
        <v>9.6613545816733062</v>
      </c>
    </row>
    <row r="26" spans="1:9" x14ac:dyDescent="0.25">
      <c r="A26" s="62" t="s">
        <v>19</v>
      </c>
      <c r="B26" s="62">
        <v>90</v>
      </c>
      <c r="C26" s="63">
        <f>(B26/B30)*100</f>
        <v>23.316062176165804</v>
      </c>
      <c r="D26" s="62">
        <v>62</v>
      </c>
      <c r="E26" s="63">
        <f>(D26/D30)*100</f>
        <v>21.01694915254237</v>
      </c>
      <c r="F26" s="62">
        <v>66</v>
      </c>
      <c r="G26" s="63">
        <f>(F26/F30)*100</f>
        <v>20.433436532507741</v>
      </c>
      <c r="H26" s="62">
        <f t="shared" si="2"/>
        <v>218</v>
      </c>
      <c r="I26" s="63">
        <f>(H26/H30)*100</f>
        <v>21.713147410358566</v>
      </c>
    </row>
    <row r="27" spans="1:9" x14ac:dyDescent="0.25">
      <c r="A27" s="62" t="s">
        <v>20</v>
      </c>
      <c r="B27" s="62">
        <v>50</v>
      </c>
      <c r="C27" s="63">
        <f>(B27/B30)*100</f>
        <v>12.953367875647666</v>
      </c>
      <c r="D27" s="62">
        <v>36</v>
      </c>
      <c r="E27" s="63">
        <f>(D27/D30)*100</f>
        <v>12.203389830508476</v>
      </c>
      <c r="F27" s="62">
        <v>55</v>
      </c>
      <c r="G27" s="63">
        <f>(F27/F30)*100</f>
        <v>17.027863777089784</v>
      </c>
      <c r="H27" s="62">
        <f t="shared" si="2"/>
        <v>141</v>
      </c>
      <c r="I27" s="63">
        <f>(H27/H30)*100</f>
        <v>14.043824701195218</v>
      </c>
    </row>
    <row r="28" spans="1:9" x14ac:dyDescent="0.25">
      <c r="A28" s="62" t="s">
        <v>21</v>
      </c>
      <c r="B28" s="62">
        <v>83</v>
      </c>
      <c r="C28" s="63">
        <f>(B28/B30)*100</f>
        <v>21.502590673575128</v>
      </c>
      <c r="D28" s="62">
        <v>24</v>
      </c>
      <c r="E28" s="63">
        <f>(D28/D30)*100</f>
        <v>8.1355932203389827</v>
      </c>
      <c r="F28" s="62">
        <v>51</v>
      </c>
      <c r="G28" s="63">
        <f>(F28/F30)*100</f>
        <v>15.789473684210526</v>
      </c>
      <c r="H28" s="62">
        <f t="shared" si="2"/>
        <v>158</v>
      </c>
      <c r="I28" s="63">
        <f>(H28/H30)*100</f>
        <v>15.737051792828685</v>
      </c>
    </row>
    <row r="29" spans="1:9" x14ac:dyDescent="0.25">
      <c r="A29" s="64" t="s">
        <v>22</v>
      </c>
      <c r="B29" s="62">
        <v>34</v>
      </c>
      <c r="C29" s="63">
        <f>(B29/B30)*100</f>
        <v>8.8082901554404138</v>
      </c>
      <c r="D29" s="62">
        <v>26</v>
      </c>
      <c r="E29" s="63">
        <f>(D29/D30)*100</f>
        <v>8.8135593220338979</v>
      </c>
      <c r="F29" s="62">
        <v>22</v>
      </c>
      <c r="G29" s="63">
        <f>(F29/F30)*100</f>
        <v>6.8111455108359129</v>
      </c>
      <c r="H29" s="62">
        <f t="shared" si="2"/>
        <v>82</v>
      </c>
      <c r="I29" s="63">
        <f>(H29/H30)*100</f>
        <v>8.1673306772908365</v>
      </c>
    </row>
    <row r="30" spans="1:9" x14ac:dyDescent="0.25">
      <c r="A30" s="64" t="s">
        <v>10</v>
      </c>
      <c r="B30" s="62">
        <f t="shared" ref="B30:G30" si="3">SUM(B19:B29)</f>
        <v>386</v>
      </c>
      <c r="C30" s="63">
        <f t="shared" si="3"/>
        <v>100</v>
      </c>
      <c r="D30" s="62">
        <f t="shared" si="3"/>
        <v>295</v>
      </c>
      <c r="E30" s="63">
        <f t="shared" si="3"/>
        <v>99.999999999999986</v>
      </c>
      <c r="F30" s="62">
        <f t="shared" si="3"/>
        <v>323</v>
      </c>
      <c r="G30" s="63">
        <f t="shared" si="3"/>
        <v>100</v>
      </c>
      <c r="H30" s="62">
        <f t="shared" si="2"/>
        <v>1004</v>
      </c>
      <c r="I30" s="63">
        <f>SUM(I19:I29)</f>
        <v>99.999999999999986</v>
      </c>
    </row>
    <row r="31" spans="1:9" x14ac:dyDescent="0.25">
      <c r="A31" s="65"/>
      <c r="B31" s="36"/>
      <c r="C31" s="37"/>
      <c r="D31" s="36"/>
      <c r="E31" s="37"/>
      <c r="F31" s="36"/>
      <c r="G31" s="37"/>
      <c r="H31" s="36"/>
      <c r="I31" s="37"/>
    </row>
    <row r="32" spans="1:9" x14ac:dyDescent="0.25">
      <c r="A32" s="4" t="s">
        <v>23</v>
      </c>
      <c r="B32" s="36"/>
      <c r="C32" s="37"/>
      <c r="D32" s="36"/>
      <c r="E32" s="37"/>
      <c r="F32" s="36"/>
      <c r="G32" s="37"/>
      <c r="H32" s="36"/>
      <c r="I32" s="37"/>
    </row>
    <row r="34" spans="1:9" x14ac:dyDescent="0.25">
      <c r="A34" s="62"/>
      <c r="B34" s="62" t="s">
        <v>7</v>
      </c>
      <c r="C34" s="63"/>
      <c r="D34" s="62" t="s">
        <v>8</v>
      </c>
      <c r="E34" s="63"/>
      <c r="F34" s="62" t="s">
        <v>9</v>
      </c>
      <c r="G34" s="63"/>
      <c r="H34" s="62" t="s">
        <v>10</v>
      </c>
      <c r="I34" s="63"/>
    </row>
    <row r="35" spans="1:9" x14ac:dyDescent="0.25">
      <c r="A35" s="62"/>
      <c r="B35" s="62" t="s">
        <v>5</v>
      </c>
      <c r="C35" s="63" t="s">
        <v>6</v>
      </c>
      <c r="D35" s="62" t="s">
        <v>5</v>
      </c>
      <c r="E35" s="63" t="s">
        <v>6</v>
      </c>
      <c r="F35" s="62" t="s">
        <v>5</v>
      </c>
      <c r="G35" s="63" t="s">
        <v>6</v>
      </c>
      <c r="H35" s="62" t="s">
        <v>5</v>
      </c>
      <c r="I35" s="63" t="s">
        <v>6</v>
      </c>
    </row>
    <row r="36" spans="1:9" x14ac:dyDescent="0.25">
      <c r="A36" s="62" t="s">
        <v>24</v>
      </c>
      <c r="B36" s="62">
        <v>176</v>
      </c>
      <c r="C36" s="63">
        <f>(B36/B39)*100</f>
        <v>45.595854922279791</v>
      </c>
      <c r="D36" s="62">
        <v>159</v>
      </c>
      <c r="E36" s="63">
        <f>(D36/D39)*100</f>
        <v>54.452054794520542</v>
      </c>
      <c r="F36" s="62">
        <v>159</v>
      </c>
      <c r="G36" s="63">
        <f>(F36/F39)*100</f>
        <v>50</v>
      </c>
      <c r="H36" s="62">
        <f t="shared" ref="H36:H39" si="4">(B36+D36+F36)</f>
        <v>494</v>
      </c>
      <c r="I36" s="63">
        <f>(H36/H39)*100</f>
        <v>49.598393574297191</v>
      </c>
    </row>
    <row r="37" spans="1:9" x14ac:dyDescent="0.25">
      <c r="A37" s="62" t="s">
        <v>25</v>
      </c>
      <c r="B37" s="62">
        <v>203</v>
      </c>
      <c r="C37" s="63">
        <f>(B37/B39)*100</f>
        <v>52.590673575129529</v>
      </c>
      <c r="D37" s="62">
        <v>121</v>
      </c>
      <c r="E37" s="63">
        <f>(D37/D39)*100</f>
        <v>41.438356164383563</v>
      </c>
      <c r="F37" s="62">
        <v>150</v>
      </c>
      <c r="G37" s="63">
        <f>(F37/F39)*100</f>
        <v>47.169811320754718</v>
      </c>
      <c r="H37" s="62">
        <f t="shared" si="4"/>
        <v>474</v>
      </c>
      <c r="I37" s="63">
        <f>(H37/H39)*100</f>
        <v>47.590361445783131</v>
      </c>
    </row>
    <row r="38" spans="1:9" x14ac:dyDescent="0.25">
      <c r="A38" s="62" t="s">
        <v>26</v>
      </c>
      <c r="B38" s="62">
        <v>7</v>
      </c>
      <c r="C38" s="63">
        <f>(B38/B39)*100</f>
        <v>1.8134715025906734</v>
      </c>
      <c r="D38" s="62">
        <v>12</v>
      </c>
      <c r="E38" s="63">
        <f>(D38/D39)*100</f>
        <v>4.10958904109589</v>
      </c>
      <c r="F38" s="62">
        <v>9</v>
      </c>
      <c r="G38" s="63">
        <f>(F38/F39)*100</f>
        <v>2.8301886792452833</v>
      </c>
      <c r="H38" s="62">
        <f t="shared" si="4"/>
        <v>28</v>
      </c>
      <c r="I38" s="63">
        <f>(H38/H39)*100</f>
        <v>2.8112449799196786</v>
      </c>
    </row>
    <row r="39" spans="1:9" x14ac:dyDescent="0.25">
      <c r="A39" s="62" t="s">
        <v>10</v>
      </c>
      <c r="B39" s="62">
        <f t="shared" ref="B39:G39" si="5">SUM(B36:B38)</f>
        <v>386</v>
      </c>
      <c r="C39" s="63">
        <f t="shared" si="5"/>
        <v>99.999999999999986</v>
      </c>
      <c r="D39" s="62">
        <f t="shared" si="5"/>
        <v>292</v>
      </c>
      <c r="E39" s="63">
        <f t="shared" si="5"/>
        <v>100</v>
      </c>
      <c r="F39" s="62">
        <f t="shared" si="5"/>
        <v>318</v>
      </c>
      <c r="G39" s="63">
        <f t="shared" si="5"/>
        <v>100</v>
      </c>
      <c r="H39" s="62">
        <f t="shared" si="4"/>
        <v>996</v>
      </c>
      <c r="I39" s="63">
        <f>SUM(I36:I38)</f>
        <v>100</v>
      </c>
    </row>
    <row r="42" spans="1:9" x14ac:dyDescent="0.25">
      <c r="A42" s="8" t="s">
        <v>27</v>
      </c>
      <c r="B42" s="66"/>
      <c r="C42" s="67"/>
      <c r="D42" s="66"/>
      <c r="E42" s="67"/>
      <c r="F42" s="66"/>
    </row>
    <row r="44" spans="1:9" x14ac:dyDescent="0.25">
      <c r="A44" s="62"/>
      <c r="B44" s="62" t="s">
        <v>293</v>
      </c>
      <c r="C44" s="63"/>
      <c r="D44" s="62" t="s">
        <v>8</v>
      </c>
      <c r="E44" s="63"/>
      <c r="F44" s="62" t="s">
        <v>9</v>
      </c>
      <c r="G44" s="63"/>
      <c r="H44" s="62" t="s">
        <v>10</v>
      </c>
      <c r="I44" s="63"/>
    </row>
    <row r="45" spans="1:9" x14ac:dyDescent="0.25">
      <c r="A45" s="62"/>
      <c r="B45" s="62" t="s">
        <v>5</v>
      </c>
      <c r="C45" s="63" t="s">
        <v>6</v>
      </c>
      <c r="D45" s="62" t="s">
        <v>5</v>
      </c>
      <c r="E45" s="63" t="s">
        <v>6</v>
      </c>
      <c r="F45" s="62" t="s">
        <v>5</v>
      </c>
      <c r="G45" s="63" t="s">
        <v>6</v>
      </c>
      <c r="H45" s="62" t="s">
        <v>5</v>
      </c>
      <c r="I45" s="63" t="s">
        <v>6</v>
      </c>
    </row>
    <row r="46" spans="1:9" x14ac:dyDescent="0.25">
      <c r="A46" s="62" t="s">
        <v>12</v>
      </c>
      <c r="B46" s="62">
        <v>0</v>
      </c>
      <c r="C46" s="63">
        <f>(B46/389)*100</f>
        <v>0</v>
      </c>
      <c r="D46" s="62">
        <v>0</v>
      </c>
      <c r="E46" s="63">
        <f>(D46/300)*100</f>
        <v>0</v>
      </c>
      <c r="F46" s="62">
        <v>0</v>
      </c>
      <c r="G46" s="63">
        <f>(F46/324)*100</f>
        <v>0</v>
      </c>
      <c r="H46" s="62">
        <f t="shared" ref="H46:H57" si="6">(B46+D46+F46)</f>
        <v>0</v>
      </c>
      <c r="I46" s="63">
        <f>(H46/1013)*100</f>
        <v>0</v>
      </c>
    </row>
    <row r="47" spans="1:9" x14ac:dyDescent="0.25">
      <c r="A47" s="62" t="s">
        <v>13</v>
      </c>
      <c r="B47" s="62">
        <v>0</v>
      </c>
      <c r="C47" s="63">
        <f t="shared" ref="C47:C57" si="7">(B47/389)*100</f>
        <v>0</v>
      </c>
      <c r="D47" s="62">
        <v>0</v>
      </c>
      <c r="E47" s="63">
        <f t="shared" ref="E47:E57" si="8">(D47/300)*100</f>
        <v>0</v>
      </c>
      <c r="F47" s="62">
        <v>0</v>
      </c>
      <c r="G47" s="63">
        <f t="shared" ref="G47:G57" si="9">(F47/324)*100</f>
        <v>0</v>
      </c>
      <c r="H47" s="62">
        <f t="shared" si="6"/>
        <v>0</v>
      </c>
      <c r="I47" s="63">
        <f t="shared" ref="I47:I57" si="10">(H47/1013)*100</f>
        <v>0</v>
      </c>
    </row>
    <row r="48" spans="1:9" x14ac:dyDescent="0.25">
      <c r="A48" s="62" t="s">
        <v>14</v>
      </c>
      <c r="B48" s="62">
        <v>0</v>
      </c>
      <c r="C48" s="63">
        <f t="shared" si="7"/>
        <v>0</v>
      </c>
      <c r="D48" s="62">
        <v>0</v>
      </c>
      <c r="E48" s="63">
        <f t="shared" si="8"/>
        <v>0</v>
      </c>
      <c r="F48" s="62">
        <v>1</v>
      </c>
      <c r="G48" s="63">
        <f t="shared" si="9"/>
        <v>0.30864197530864196</v>
      </c>
      <c r="H48" s="62">
        <f t="shared" si="6"/>
        <v>1</v>
      </c>
      <c r="I48" s="63">
        <f t="shared" si="10"/>
        <v>9.8716683119447174E-2</v>
      </c>
    </row>
    <row r="49" spans="1:11" x14ac:dyDescent="0.25">
      <c r="A49" s="62" t="s">
        <v>15</v>
      </c>
      <c r="B49" s="62">
        <v>0</v>
      </c>
      <c r="C49" s="63">
        <f t="shared" si="7"/>
        <v>0</v>
      </c>
      <c r="D49" s="62">
        <v>0</v>
      </c>
      <c r="E49" s="63">
        <f t="shared" si="8"/>
        <v>0</v>
      </c>
      <c r="F49" s="62">
        <v>0</v>
      </c>
      <c r="G49" s="63">
        <f t="shared" si="9"/>
        <v>0</v>
      </c>
      <c r="H49" s="62">
        <f t="shared" si="6"/>
        <v>0</v>
      </c>
      <c r="I49" s="63">
        <f t="shared" si="10"/>
        <v>0</v>
      </c>
    </row>
    <row r="50" spans="1:11" x14ac:dyDescent="0.25">
      <c r="A50" s="62" t="s">
        <v>16</v>
      </c>
      <c r="B50" s="62">
        <v>0</v>
      </c>
      <c r="C50" s="63">
        <f t="shared" si="7"/>
        <v>0</v>
      </c>
      <c r="D50" s="62">
        <v>0</v>
      </c>
      <c r="E50" s="63">
        <f t="shared" si="8"/>
        <v>0</v>
      </c>
      <c r="F50" s="62">
        <v>0</v>
      </c>
      <c r="G50" s="63">
        <f t="shared" si="9"/>
        <v>0</v>
      </c>
      <c r="H50" s="62">
        <f t="shared" si="6"/>
        <v>0</v>
      </c>
      <c r="I50" s="63">
        <f t="shared" si="10"/>
        <v>0</v>
      </c>
    </row>
    <row r="51" spans="1:11" x14ac:dyDescent="0.25">
      <c r="A51" s="62" t="s">
        <v>17</v>
      </c>
      <c r="B51" s="62">
        <v>1</v>
      </c>
      <c r="C51" s="63">
        <f t="shared" si="7"/>
        <v>0.25706940874035988</v>
      </c>
      <c r="D51" s="62">
        <v>1</v>
      </c>
      <c r="E51" s="63">
        <f t="shared" si="8"/>
        <v>0.33333333333333337</v>
      </c>
      <c r="F51" s="62">
        <v>2</v>
      </c>
      <c r="G51" s="63">
        <f t="shared" si="9"/>
        <v>0.61728395061728392</v>
      </c>
      <c r="H51" s="62">
        <f t="shared" si="6"/>
        <v>4</v>
      </c>
      <c r="I51" s="63">
        <f t="shared" si="10"/>
        <v>0.3948667324777887</v>
      </c>
    </row>
    <row r="52" spans="1:11" x14ac:dyDescent="0.25">
      <c r="A52" s="62" t="s">
        <v>18</v>
      </c>
      <c r="B52" s="62">
        <v>9</v>
      </c>
      <c r="C52" s="63">
        <f t="shared" si="7"/>
        <v>2.3136246786632388</v>
      </c>
      <c r="D52" s="62">
        <v>7</v>
      </c>
      <c r="E52" s="63">
        <f t="shared" si="8"/>
        <v>2.3333333333333335</v>
      </c>
      <c r="F52" s="62">
        <v>5</v>
      </c>
      <c r="G52" s="63">
        <f t="shared" si="9"/>
        <v>1.5432098765432098</v>
      </c>
      <c r="H52" s="62">
        <f t="shared" si="6"/>
        <v>21</v>
      </c>
      <c r="I52" s="63">
        <f t="shared" si="10"/>
        <v>2.0730503455083911</v>
      </c>
    </row>
    <row r="53" spans="1:11" x14ac:dyDescent="0.25">
      <c r="A53" s="62" t="s">
        <v>19</v>
      </c>
      <c r="B53" s="62">
        <v>7</v>
      </c>
      <c r="C53" s="63">
        <f t="shared" si="7"/>
        <v>1.7994858611825193</v>
      </c>
      <c r="D53" s="62">
        <v>13</v>
      </c>
      <c r="E53" s="63">
        <f t="shared" si="8"/>
        <v>4.3333333333333339</v>
      </c>
      <c r="F53" s="62">
        <v>14</v>
      </c>
      <c r="G53" s="63">
        <f t="shared" si="9"/>
        <v>4.3209876543209873</v>
      </c>
      <c r="H53" s="62">
        <f t="shared" si="6"/>
        <v>34</v>
      </c>
      <c r="I53" s="63">
        <f t="shared" si="10"/>
        <v>3.3563672260612041</v>
      </c>
    </row>
    <row r="54" spans="1:11" x14ac:dyDescent="0.25">
      <c r="A54" s="62" t="s">
        <v>20</v>
      </c>
      <c r="B54" s="62">
        <v>6</v>
      </c>
      <c r="C54" s="63">
        <f t="shared" si="7"/>
        <v>1.5424164524421593</v>
      </c>
      <c r="D54" s="62">
        <v>13</v>
      </c>
      <c r="E54" s="63">
        <f t="shared" si="8"/>
        <v>4.3333333333333339</v>
      </c>
      <c r="F54" s="62">
        <v>10</v>
      </c>
      <c r="G54" s="63">
        <f t="shared" si="9"/>
        <v>3.0864197530864197</v>
      </c>
      <c r="H54" s="62">
        <f t="shared" si="6"/>
        <v>29</v>
      </c>
      <c r="I54" s="63">
        <f t="shared" si="10"/>
        <v>2.8627838104639687</v>
      </c>
    </row>
    <row r="55" spans="1:11" x14ac:dyDescent="0.25">
      <c r="A55" s="62" t="s">
        <v>21</v>
      </c>
      <c r="B55" s="62">
        <v>53</v>
      </c>
      <c r="C55" s="63">
        <f t="shared" si="7"/>
        <v>13.624678663239074</v>
      </c>
      <c r="D55" s="62">
        <v>45</v>
      </c>
      <c r="E55" s="63">
        <f t="shared" si="8"/>
        <v>15</v>
      </c>
      <c r="F55" s="62">
        <v>31</v>
      </c>
      <c r="G55" s="63">
        <f t="shared" si="9"/>
        <v>9.5679012345679002</v>
      </c>
      <c r="H55" s="62">
        <f t="shared" si="6"/>
        <v>129</v>
      </c>
      <c r="I55" s="63">
        <f t="shared" si="10"/>
        <v>12.734452122408687</v>
      </c>
    </row>
    <row r="56" spans="1:11" x14ac:dyDescent="0.25">
      <c r="A56" s="64" t="s">
        <v>22</v>
      </c>
      <c r="B56" s="62">
        <v>94</v>
      </c>
      <c r="C56" s="63">
        <f t="shared" si="7"/>
        <v>24.164524421593832</v>
      </c>
      <c r="D56" s="62">
        <v>75</v>
      </c>
      <c r="E56" s="63">
        <f t="shared" si="8"/>
        <v>25</v>
      </c>
      <c r="F56" s="62">
        <v>88</v>
      </c>
      <c r="G56" s="63">
        <f t="shared" si="9"/>
        <v>27.160493827160494</v>
      </c>
      <c r="H56" s="62">
        <f t="shared" si="6"/>
        <v>257</v>
      </c>
      <c r="I56" s="63">
        <f t="shared" si="10"/>
        <v>25.370187561697925</v>
      </c>
    </row>
    <row r="57" spans="1:11" x14ac:dyDescent="0.25">
      <c r="A57" s="64" t="s">
        <v>10</v>
      </c>
      <c r="B57" s="62">
        <f>SUM(B46:B56)</f>
        <v>170</v>
      </c>
      <c r="C57" s="63">
        <f t="shared" si="7"/>
        <v>43.70179948586118</v>
      </c>
      <c r="D57" s="62">
        <f t="shared" ref="D57:F57" si="11">SUM(D46:D56)</f>
        <v>154</v>
      </c>
      <c r="E57" s="63">
        <f t="shared" si="8"/>
        <v>51.333333333333329</v>
      </c>
      <c r="F57" s="62">
        <f t="shared" si="11"/>
        <v>151</v>
      </c>
      <c r="G57" s="63">
        <f t="shared" si="9"/>
        <v>46.604938271604937</v>
      </c>
      <c r="H57" s="62">
        <f t="shared" si="6"/>
        <v>475</v>
      </c>
      <c r="I57" s="63">
        <f t="shared" si="10"/>
        <v>46.890424481737412</v>
      </c>
    </row>
    <row r="58" spans="1:11" x14ac:dyDescent="0.25">
      <c r="A58" s="65"/>
      <c r="B58" s="36"/>
      <c r="C58" s="37"/>
      <c r="D58" s="36"/>
      <c r="E58" s="37"/>
      <c r="F58" s="36"/>
      <c r="G58" s="37"/>
      <c r="H58" s="36"/>
      <c r="I58" s="37"/>
    </row>
    <row r="59" spans="1:11" x14ac:dyDescent="0.25">
      <c r="A59" s="4" t="s">
        <v>262</v>
      </c>
      <c r="B59" s="36"/>
      <c r="C59" s="37"/>
      <c r="D59" s="36"/>
      <c r="E59" s="37"/>
      <c r="F59" s="36"/>
      <c r="G59" s="37"/>
      <c r="H59" s="36"/>
      <c r="I59" s="37"/>
    </row>
    <row r="60" spans="1:11" x14ac:dyDescent="0.25">
      <c r="A60" s="65"/>
      <c r="B60" s="36"/>
      <c r="C60" s="37"/>
      <c r="D60" s="36"/>
      <c r="E60" s="37"/>
      <c r="F60" s="36"/>
      <c r="G60" s="37"/>
      <c r="H60" s="36"/>
      <c r="I60" s="37"/>
    </row>
    <row r="61" spans="1:11" x14ac:dyDescent="0.25">
      <c r="A61" s="21" t="s">
        <v>7</v>
      </c>
      <c r="B61" s="36"/>
      <c r="C61" s="37"/>
      <c r="D61" s="36"/>
      <c r="E61" s="37"/>
      <c r="F61" s="36"/>
      <c r="G61" s="37"/>
      <c r="H61" s="36"/>
      <c r="I61" s="37"/>
    </row>
    <row r="62" spans="1:11" x14ac:dyDescent="0.25">
      <c r="A62" s="64"/>
      <c r="B62" s="10" t="s">
        <v>161</v>
      </c>
      <c r="C62" s="11"/>
      <c r="D62" s="10"/>
      <c r="E62" s="11"/>
      <c r="F62" s="10"/>
      <c r="G62" s="11"/>
      <c r="H62" s="10"/>
      <c r="I62" s="11"/>
    </row>
    <row r="63" spans="1:11" x14ac:dyDescent="0.25">
      <c r="A63" s="12" t="s">
        <v>159</v>
      </c>
      <c r="B63" s="13">
        <v>0</v>
      </c>
      <c r="C63" s="13">
        <v>1</v>
      </c>
      <c r="D63" s="13">
        <v>2</v>
      </c>
      <c r="E63" s="13">
        <v>3</v>
      </c>
      <c r="F63" s="14">
        <v>4</v>
      </c>
      <c r="G63" s="13">
        <v>5</v>
      </c>
      <c r="H63" s="12">
        <v>8</v>
      </c>
      <c r="I63" s="11" t="s">
        <v>160</v>
      </c>
    </row>
    <row r="64" spans="1:11" x14ac:dyDescent="0.25">
      <c r="A64" s="68" t="s">
        <v>162</v>
      </c>
      <c r="B64" s="69">
        <v>11</v>
      </c>
      <c r="C64" s="70">
        <v>72</v>
      </c>
      <c r="D64" s="70">
        <v>49</v>
      </c>
      <c r="E64" s="70">
        <v>14</v>
      </c>
      <c r="F64" s="70">
        <v>6</v>
      </c>
      <c r="G64" s="70">
        <v>1</v>
      </c>
      <c r="H64" s="70">
        <v>0</v>
      </c>
      <c r="I64" s="71">
        <f>(C64+2*D64+3*E64+4*F64+5*G64+8*H64)/153</f>
        <v>1.5751633986928104</v>
      </c>
      <c r="J64" s="61"/>
      <c r="K64" s="72"/>
    </row>
    <row r="65" spans="1:11" x14ac:dyDescent="0.25">
      <c r="A65" s="68" t="s">
        <v>163</v>
      </c>
      <c r="B65" s="69">
        <v>1</v>
      </c>
      <c r="C65" s="70">
        <v>13</v>
      </c>
      <c r="D65" s="70">
        <v>4</v>
      </c>
      <c r="E65" s="70">
        <v>8</v>
      </c>
      <c r="F65" s="70">
        <v>0</v>
      </c>
      <c r="G65" s="70">
        <v>0</v>
      </c>
      <c r="H65" s="70">
        <v>0</v>
      </c>
      <c r="I65" s="71">
        <f>(C65+2*D65+3*E65+4*F65+5*G65+8*H65)/26</f>
        <v>1.7307692307692308</v>
      </c>
      <c r="K65" s="72"/>
    </row>
    <row r="66" spans="1:11" x14ac:dyDescent="0.25">
      <c r="A66" s="68" t="s">
        <v>164</v>
      </c>
      <c r="B66" s="69">
        <v>10</v>
      </c>
      <c r="C66" s="70">
        <v>19</v>
      </c>
      <c r="D66" s="70">
        <v>13</v>
      </c>
      <c r="E66" s="70">
        <v>2</v>
      </c>
      <c r="F66" s="70">
        <v>2</v>
      </c>
      <c r="G66" s="70">
        <v>0</v>
      </c>
      <c r="H66" s="70">
        <v>0</v>
      </c>
      <c r="I66" s="71">
        <f>(C66+2*D66+3*E66+4*F66+5*G66+8*H66)/46</f>
        <v>1.2826086956521738</v>
      </c>
      <c r="K66" s="72"/>
    </row>
    <row r="67" spans="1:11" x14ac:dyDescent="0.25">
      <c r="A67" s="68" t="s">
        <v>165</v>
      </c>
      <c r="B67" s="69">
        <v>0</v>
      </c>
      <c r="C67" s="70">
        <v>2</v>
      </c>
      <c r="D67" s="70">
        <v>3</v>
      </c>
      <c r="E67" s="70">
        <v>0</v>
      </c>
      <c r="F67" s="70">
        <v>0</v>
      </c>
      <c r="G67" s="70">
        <v>0</v>
      </c>
      <c r="H67" s="70">
        <v>0</v>
      </c>
      <c r="I67" s="71">
        <f>(C67+2*D67+3*E67+4*F67+5*G67+8*H67)/5</f>
        <v>1.6</v>
      </c>
      <c r="K67" s="72"/>
    </row>
    <row r="68" spans="1:11" x14ac:dyDescent="0.25">
      <c r="A68" s="68" t="s">
        <v>166</v>
      </c>
      <c r="B68" s="69">
        <v>9</v>
      </c>
      <c r="C68" s="70">
        <v>34</v>
      </c>
      <c r="D68" s="70">
        <v>8</v>
      </c>
      <c r="E68" s="70">
        <v>2</v>
      </c>
      <c r="F68" s="70">
        <v>1</v>
      </c>
      <c r="G68" s="70">
        <v>0</v>
      </c>
      <c r="H68" s="70">
        <v>1</v>
      </c>
      <c r="I68" s="71">
        <f>(C68+2*D68+3*E68+4*F68+5*G68+8*H68)/55</f>
        <v>1.2363636363636363</v>
      </c>
      <c r="K68" s="72"/>
    </row>
    <row r="69" spans="1:11" x14ac:dyDescent="0.25">
      <c r="A69" s="68" t="s">
        <v>167</v>
      </c>
      <c r="B69" s="69">
        <v>3</v>
      </c>
      <c r="C69" s="70">
        <v>38</v>
      </c>
      <c r="D69" s="70">
        <v>18</v>
      </c>
      <c r="E69" s="70">
        <v>8</v>
      </c>
      <c r="F69" s="70">
        <v>4</v>
      </c>
      <c r="G69" s="70">
        <v>3</v>
      </c>
      <c r="H69" s="70">
        <v>1</v>
      </c>
      <c r="I69" s="71">
        <f>(C69+2*D69+3*E69+4*F69+5*G69+8*H69)/75</f>
        <v>1.8266666666666667</v>
      </c>
      <c r="K69" s="72"/>
    </row>
    <row r="70" spans="1:11" x14ac:dyDescent="0.25">
      <c r="A70" s="68" t="s">
        <v>168</v>
      </c>
      <c r="B70" s="69">
        <v>3</v>
      </c>
      <c r="C70" s="70">
        <v>15</v>
      </c>
      <c r="D70" s="70">
        <v>6</v>
      </c>
      <c r="E70" s="70">
        <v>2</v>
      </c>
      <c r="F70" s="70">
        <v>1</v>
      </c>
      <c r="G70" s="70">
        <v>0</v>
      </c>
      <c r="H70" s="70">
        <v>0</v>
      </c>
      <c r="I70" s="71">
        <f>(C70+2*D70+3*E70+4*F70+5*G70+8*H70)/27</f>
        <v>1.3703703703703705</v>
      </c>
      <c r="K70" s="72"/>
    </row>
    <row r="71" spans="1:11" x14ac:dyDescent="0.25">
      <c r="A71" s="68" t="s">
        <v>170</v>
      </c>
      <c r="B71" s="69">
        <v>1</v>
      </c>
      <c r="C71" s="70">
        <v>1</v>
      </c>
      <c r="D71" s="70">
        <v>0</v>
      </c>
      <c r="E71" s="70">
        <v>0</v>
      </c>
      <c r="F71" s="70">
        <v>0</v>
      </c>
      <c r="G71" s="70">
        <v>0</v>
      </c>
      <c r="H71" s="70">
        <v>0</v>
      </c>
      <c r="I71" s="71"/>
      <c r="K71" s="72"/>
    </row>
    <row r="72" spans="1:11" x14ac:dyDescent="0.25">
      <c r="A72" s="15" t="s">
        <v>10</v>
      </c>
      <c r="B72" s="70">
        <f t="shared" ref="B72:H72" si="12">SUM(B64:B71)</f>
        <v>38</v>
      </c>
      <c r="C72" s="70">
        <f t="shared" si="12"/>
        <v>194</v>
      </c>
      <c r="D72" s="70">
        <f t="shared" si="12"/>
        <v>101</v>
      </c>
      <c r="E72" s="70">
        <f t="shared" si="12"/>
        <v>36</v>
      </c>
      <c r="F72" s="70">
        <f t="shared" si="12"/>
        <v>14</v>
      </c>
      <c r="G72" s="70">
        <f t="shared" si="12"/>
        <v>4</v>
      </c>
      <c r="H72" s="70">
        <f t="shared" si="12"/>
        <v>2</v>
      </c>
      <c r="I72" s="71">
        <f>(C72+2*D72+3*E72+4*F72+5*G72+8*H72)/389</f>
        <v>1.532133676092545</v>
      </c>
      <c r="K72" s="72"/>
    </row>
    <row r="73" spans="1:11" x14ac:dyDescent="0.25">
      <c r="A73" s="18"/>
      <c r="B73" s="73"/>
      <c r="C73" s="73"/>
      <c r="D73" s="73"/>
      <c r="E73" s="73"/>
      <c r="F73" s="73"/>
      <c r="G73" s="73"/>
      <c r="H73" s="73"/>
      <c r="I73" s="74"/>
    </row>
    <row r="74" spans="1:11" x14ac:dyDescent="0.25">
      <c r="A74" s="21" t="s">
        <v>8</v>
      </c>
      <c r="B74" s="36"/>
      <c r="C74" s="37"/>
      <c r="D74" s="36"/>
      <c r="E74" s="37"/>
      <c r="F74" s="36"/>
      <c r="G74" s="37"/>
      <c r="H74" s="36"/>
      <c r="I74" s="37"/>
    </row>
    <row r="75" spans="1:11" x14ac:dyDescent="0.25">
      <c r="A75" s="64"/>
      <c r="B75" s="10" t="s">
        <v>161</v>
      </c>
      <c r="C75" s="11"/>
      <c r="D75" s="10"/>
      <c r="E75" s="11"/>
      <c r="F75" s="10"/>
      <c r="G75" s="11"/>
      <c r="H75" s="10"/>
      <c r="I75" s="63"/>
      <c r="J75" s="11"/>
    </row>
    <row r="76" spans="1:11" x14ac:dyDescent="0.25">
      <c r="A76" s="12" t="s">
        <v>159</v>
      </c>
      <c r="B76" s="24">
        <v>0</v>
      </c>
      <c r="C76" s="24">
        <v>1</v>
      </c>
      <c r="D76" s="24">
        <v>2</v>
      </c>
      <c r="E76" s="24">
        <v>3</v>
      </c>
      <c r="F76" s="24">
        <v>4</v>
      </c>
      <c r="G76" s="24">
        <v>5</v>
      </c>
      <c r="H76" s="25">
        <v>6</v>
      </c>
      <c r="I76" s="70">
        <v>7</v>
      </c>
      <c r="J76" s="11" t="s">
        <v>160</v>
      </c>
    </row>
    <row r="77" spans="1:11" x14ac:dyDescent="0.25">
      <c r="A77" s="68" t="s">
        <v>162</v>
      </c>
      <c r="B77" s="69">
        <v>15</v>
      </c>
      <c r="C77" s="70">
        <v>46</v>
      </c>
      <c r="D77" s="70">
        <v>18</v>
      </c>
      <c r="E77" s="70">
        <v>5</v>
      </c>
      <c r="F77" s="70">
        <v>5</v>
      </c>
      <c r="G77" s="70">
        <v>0</v>
      </c>
      <c r="H77" s="70">
        <v>2</v>
      </c>
      <c r="I77" s="70">
        <v>1</v>
      </c>
      <c r="J77" s="75">
        <f>(C77+2*D77+3*E77+4*F77+5*G77+6*H77+7*I77)/92</f>
        <v>1.4782608695652173</v>
      </c>
      <c r="K77" s="72"/>
    </row>
    <row r="78" spans="1:11" x14ac:dyDescent="0.25">
      <c r="A78" s="68" t="s">
        <v>163</v>
      </c>
      <c r="B78" s="69">
        <v>5</v>
      </c>
      <c r="C78" s="70">
        <v>15</v>
      </c>
      <c r="D78" s="70">
        <v>13</v>
      </c>
      <c r="E78" s="70">
        <v>4</v>
      </c>
      <c r="F78" s="70">
        <v>0</v>
      </c>
      <c r="G78" s="70">
        <v>0</v>
      </c>
      <c r="H78" s="70">
        <v>0</v>
      </c>
      <c r="I78" s="70">
        <v>0</v>
      </c>
      <c r="J78" s="75">
        <f>(C78+2*D78+3*E78+4*F78+5*G78+6*H78+7*I78)/37</f>
        <v>1.4324324324324325</v>
      </c>
      <c r="K78" s="72"/>
    </row>
    <row r="79" spans="1:11" x14ac:dyDescent="0.25">
      <c r="A79" s="68" t="s">
        <v>164</v>
      </c>
      <c r="B79" s="69">
        <v>5</v>
      </c>
      <c r="C79" s="70">
        <v>16</v>
      </c>
      <c r="D79" s="70">
        <v>6</v>
      </c>
      <c r="E79" s="70">
        <v>1</v>
      </c>
      <c r="F79" s="70">
        <v>2</v>
      </c>
      <c r="G79" s="70">
        <v>0</v>
      </c>
      <c r="H79" s="70">
        <v>0</v>
      </c>
      <c r="I79" s="70">
        <v>0</v>
      </c>
      <c r="J79" s="75">
        <f>(C79+2*D79+3*E79+4*F79+5*G79+6*H79+7*I79)/30</f>
        <v>1.3</v>
      </c>
      <c r="K79" s="72"/>
    </row>
    <row r="80" spans="1:11" ht="30" x14ac:dyDescent="0.25">
      <c r="A80" s="76" t="s">
        <v>169</v>
      </c>
      <c r="B80" s="69">
        <v>0</v>
      </c>
      <c r="C80" s="70">
        <v>0</v>
      </c>
      <c r="D80" s="70">
        <v>1</v>
      </c>
      <c r="E80" s="70">
        <v>0</v>
      </c>
      <c r="F80" s="70">
        <v>0</v>
      </c>
      <c r="G80" s="70">
        <v>0</v>
      </c>
      <c r="H80" s="70">
        <v>0</v>
      </c>
      <c r="I80" s="70">
        <v>0</v>
      </c>
      <c r="J80" s="75">
        <f>(C80+2*D80+3*E80+4*F80+5*G80+6*H80+7*I80)/1</f>
        <v>2</v>
      </c>
      <c r="K80" s="72"/>
    </row>
    <row r="81" spans="1:25" x14ac:dyDescent="0.25">
      <c r="A81" s="68" t="s">
        <v>165</v>
      </c>
      <c r="B81" s="69">
        <v>0</v>
      </c>
      <c r="C81" s="70">
        <v>2</v>
      </c>
      <c r="D81" s="70">
        <v>1</v>
      </c>
      <c r="E81" s="70">
        <v>0</v>
      </c>
      <c r="F81" s="70">
        <v>1</v>
      </c>
      <c r="G81" s="70">
        <v>0</v>
      </c>
      <c r="H81" s="70">
        <v>0</v>
      </c>
      <c r="I81" s="70">
        <v>0</v>
      </c>
      <c r="J81" s="75">
        <f>(C81+2*D81+3*E81+4*F81+5*G81+6*H81+7*I81)/4</f>
        <v>2</v>
      </c>
      <c r="K81" s="72"/>
    </row>
    <row r="82" spans="1:25" x14ac:dyDescent="0.25">
      <c r="A82" s="68" t="s">
        <v>166</v>
      </c>
      <c r="B82" s="69">
        <v>15</v>
      </c>
      <c r="C82" s="70">
        <v>38</v>
      </c>
      <c r="D82" s="70">
        <v>10</v>
      </c>
      <c r="E82" s="70">
        <v>2</v>
      </c>
      <c r="F82" s="70">
        <v>2</v>
      </c>
      <c r="G82" s="70">
        <v>0</v>
      </c>
      <c r="H82" s="70">
        <v>0</v>
      </c>
      <c r="I82" s="70">
        <v>0</v>
      </c>
      <c r="J82" s="75">
        <f>(C82+2*D82+3*E82+4*F82+5*G82+6*H82+7*I82)/67</f>
        <v>1.0746268656716418</v>
      </c>
      <c r="K82" s="72"/>
    </row>
    <row r="83" spans="1:25" x14ac:dyDescent="0.25">
      <c r="A83" s="68" t="s">
        <v>167</v>
      </c>
      <c r="B83" s="69">
        <v>8</v>
      </c>
      <c r="C83" s="70">
        <v>27</v>
      </c>
      <c r="D83" s="70">
        <v>6</v>
      </c>
      <c r="E83" s="70">
        <v>3</v>
      </c>
      <c r="F83" s="70">
        <v>1</v>
      </c>
      <c r="G83" s="70">
        <v>1</v>
      </c>
      <c r="H83" s="70">
        <v>0</v>
      </c>
      <c r="I83" s="70">
        <v>0</v>
      </c>
      <c r="J83" s="75">
        <f>(C83+2*D83+3*E83+4*F83+5*G83+6*H83+7*I83)/46</f>
        <v>1.2391304347826086</v>
      </c>
      <c r="K83" s="72"/>
    </row>
    <row r="84" spans="1:25" x14ac:dyDescent="0.25">
      <c r="A84" s="68" t="s">
        <v>168</v>
      </c>
      <c r="B84" s="69">
        <v>1</v>
      </c>
      <c r="C84" s="70">
        <v>15</v>
      </c>
      <c r="D84" s="70">
        <v>3</v>
      </c>
      <c r="E84" s="70">
        <v>0</v>
      </c>
      <c r="F84" s="70">
        <v>0</v>
      </c>
      <c r="G84" s="70">
        <v>0</v>
      </c>
      <c r="H84" s="70">
        <v>0</v>
      </c>
      <c r="I84" s="70">
        <v>0</v>
      </c>
      <c r="J84" s="75">
        <f>(C84+2*D84+3*E84+4*F84+5*G84+6*H84+7*I84)/19</f>
        <v>1.1052631578947369</v>
      </c>
      <c r="K84" s="72"/>
    </row>
    <row r="85" spans="1:25" x14ac:dyDescent="0.25">
      <c r="A85" s="68" t="s">
        <v>170</v>
      </c>
      <c r="B85" s="69">
        <v>3</v>
      </c>
      <c r="C85" s="70">
        <v>1</v>
      </c>
      <c r="D85" s="70">
        <v>0</v>
      </c>
      <c r="E85" s="70">
        <v>0</v>
      </c>
      <c r="F85" s="70">
        <v>0</v>
      </c>
      <c r="G85" s="70">
        <v>0</v>
      </c>
      <c r="H85" s="70">
        <v>0</v>
      </c>
      <c r="I85" s="70">
        <v>0</v>
      </c>
      <c r="J85" s="75"/>
      <c r="K85" s="72"/>
    </row>
    <row r="86" spans="1:25" x14ac:dyDescent="0.25">
      <c r="A86" s="15" t="s">
        <v>10</v>
      </c>
      <c r="B86" s="77">
        <f t="shared" ref="B86:I86" si="13">SUM(B77:B85)</f>
        <v>52</v>
      </c>
      <c r="C86" s="77">
        <f t="shared" si="13"/>
        <v>160</v>
      </c>
      <c r="D86" s="77">
        <f t="shared" si="13"/>
        <v>58</v>
      </c>
      <c r="E86" s="77">
        <f t="shared" si="13"/>
        <v>15</v>
      </c>
      <c r="F86" s="77">
        <f t="shared" si="13"/>
        <v>11</v>
      </c>
      <c r="G86" s="77">
        <f t="shared" si="13"/>
        <v>1</v>
      </c>
      <c r="H86" s="77">
        <f t="shared" si="13"/>
        <v>2</v>
      </c>
      <c r="I86" s="77">
        <f t="shared" si="13"/>
        <v>1</v>
      </c>
      <c r="J86" s="75">
        <f>(C86+2*D86+3*E86+4*F86+5*G86+6*H86+7*I86)/300</f>
        <v>1.2966666666666666</v>
      </c>
      <c r="K86" s="72"/>
    </row>
    <row r="87" spans="1:25" x14ac:dyDescent="0.25">
      <c r="A87" s="23"/>
      <c r="B87" s="73"/>
      <c r="C87" s="73"/>
      <c r="D87" s="73"/>
      <c r="E87" s="73"/>
      <c r="F87" s="73"/>
      <c r="G87" s="73"/>
      <c r="H87" s="73"/>
      <c r="I87" s="73"/>
    </row>
    <row r="88" spans="1:25" x14ac:dyDescent="0.25">
      <c r="A88" s="22" t="s">
        <v>9</v>
      </c>
      <c r="B88" s="36"/>
      <c r="C88" s="37"/>
      <c r="D88" s="36"/>
      <c r="E88" s="37"/>
      <c r="F88" s="36"/>
      <c r="G88" s="37"/>
      <c r="H88" s="62"/>
      <c r="I88" s="37"/>
    </row>
    <row r="89" spans="1:25" x14ac:dyDescent="0.25">
      <c r="A89" s="64"/>
      <c r="B89" s="10" t="s">
        <v>161</v>
      </c>
      <c r="C89" s="11"/>
      <c r="D89" s="10"/>
      <c r="E89" s="11"/>
      <c r="F89" s="10"/>
      <c r="G89" s="19"/>
      <c r="H89" s="11"/>
      <c r="I89" s="37"/>
    </row>
    <row r="90" spans="1:25" x14ac:dyDescent="0.25">
      <c r="A90" s="12" t="s">
        <v>159</v>
      </c>
      <c r="B90" s="13">
        <v>0</v>
      </c>
      <c r="C90" s="13">
        <v>1</v>
      </c>
      <c r="D90" s="13">
        <v>2</v>
      </c>
      <c r="E90" s="13">
        <v>3</v>
      </c>
      <c r="F90" s="14">
        <v>4</v>
      </c>
      <c r="G90" s="20">
        <v>5</v>
      </c>
      <c r="H90" s="11" t="s">
        <v>160</v>
      </c>
      <c r="I90" s="73"/>
    </row>
    <row r="91" spans="1:25" x14ac:dyDescent="0.25">
      <c r="A91" s="68" t="s">
        <v>162</v>
      </c>
      <c r="B91" s="62">
        <v>15</v>
      </c>
      <c r="C91" s="77">
        <v>75</v>
      </c>
      <c r="D91" s="77">
        <v>40</v>
      </c>
      <c r="E91" s="77">
        <v>5</v>
      </c>
      <c r="F91" s="77">
        <v>0</v>
      </c>
      <c r="G91" s="78">
        <v>2</v>
      </c>
      <c r="H91" s="75">
        <f>(C91+2*D91+3*E91+4*F91+5*G91)/137</f>
        <v>1.3138686131386861</v>
      </c>
      <c r="I91" s="73"/>
      <c r="K91" s="72"/>
    </row>
    <row r="92" spans="1:25" x14ac:dyDescent="0.25">
      <c r="A92" s="79" t="s">
        <v>163</v>
      </c>
      <c r="B92" s="69">
        <v>1</v>
      </c>
      <c r="C92" s="70">
        <v>8</v>
      </c>
      <c r="D92" s="70">
        <v>11</v>
      </c>
      <c r="E92" s="70">
        <v>4</v>
      </c>
      <c r="F92" s="70">
        <v>0</v>
      </c>
      <c r="G92" s="80">
        <v>0</v>
      </c>
      <c r="H92" s="71">
        <f>(C92+2*D92+3*E92+4*F92+5*G92)/24</f>
        <v>1.75</v>
      </c>
      <c r="I92" s="81"/>
      <c r="J92" s="82"/>
      <c r="K92" s="7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</row>
    <row r="93" spans="1:25" x14ac:dyDescent="0.25">
      <c r="A93" s="79" t="s">
        <v>164</v>
      </c>
      <c r="B93" s="69">
        <v>6</v>
      </c>
      <c r="C93" s="70">
        <v>16</v>
      </c>
      <c r="D93" s="70">
        <v>20</v>
      </c>
      <c r="E93" s="70">
        <v>6</v>
      </c>
      <c r="F93" s="70">
        <v>2</v>
      </c>
      <c r="G93" s="80">
        <v>0</v>
      </c>
      <c r="H93" s="71">
        <f>(C93+2*D93+3*E93+4*F93+5*G93)/50</f>
        <v>1.64</v>
      </c>
      <c r="I93" s="81"/>
      <c r="J93" s="82"/>
      <c r="K93" s="7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</row>
    <row r="94" spans="1:25" ht="30" x14ac:dyDescent="0.25">
      <c r="A94" s="83" t="s">
        <v>169</v>
      </c>
      <c r="B94" s="69">
        <v>0</v>
      </c>
      <c r="C94" s="70">
        <v>0</v>
      </c>
      <c r="D94" s="70">
        <v>2</v>
      </c>
      <c r="E94" s="70">
        <v>0</v>
      </c>
      <c r="F94" s="70">
        <v>0</v>
      </c>
      <c r="G94" s="80">
        <v>0</v>
      </c>
      <c r="H94" s="71">
        <f>(C94+2*D94+3*E94+4*F94+5*G94)/2</f>
        <v>2</v>
      </c>
      <c r="I94" s="81"/>
      <c r="J94" s="82"/>
      <c r="K94" s="7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</row>
    <row r="95" spans="1:25" x14ac:dyDescent="0.25">
      <c r="A95" s="79" t="s">
        <v>165</v>
      </c>
      <c r="B95" s="69">
        <v>0</v>
      </c>
      <c r="C95" s="70">
        <v>2</v>
      </c>
      <c r="D95" s="70">
        <v>0</v>
      </c>
      <c r="E95" s="70">
        <v>1</v>
      </c>
      <c r="F95" s="70">
        <v>0</v>
      </c>
      <c r="G95" s="80">
        <v>0</v>
      </c>
      <c r="H95" s="71">
        <f>(C95+2*D95+3*E95+4*F95+5*G95)/3</f>
        <v>1.6666666666666667</v>
      </c>
      <c r="I95" s="81"/>
      <c r="J95" s="82"/>
      <c r="K95" s="7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</row>
    <row r="96" spans="1:25" x14ac:dyDescent="0.25">
      <c r="A96" s="79" t="s">
        <v>166</v>
      </c>
      <c r="B96" s="69">
        <v>6</v>
      </c>
      <c r="C96" s="70">
        <v>18</v>
      </c>
      <c r="D96" s="70">
        <v>9</v>
      </c>
      <c r="E96" s="70">
        <v>1</v>
      </c>
      <c r="F96" s="70">
        <v>0</v>
      </c>
      <c r="G96" s="80">
        <v>1</v>
      </c>
      <c r="H96" s="71">
        <f>(C96+2*D96+3*E96+4*F96+5*G96)/35</f>
        <v>1.2571428571428571</v>
      </c>
      <c r="I96" s="81"/>
      <c r="J96" s="82"/>
      <c r="K96" s="7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</row>
    <row r="97" spans="1:25" x14ac:dyDescent="0.25">
      <c r="A97" s="79" t="s">
        <v>167</v>
      </c>
      <c r="B97" s="69">
        <v>3</v>
      </c>
      <c r="C97" s="70">
        <v>18</v>
      </c>
      <c r="D97" s="70">
        <v>14</v>
      </c>
      <c r="E97" s="70">
        <v>4</v>
      </c>
      <c r="F97" s="70">
        <v>1</v>
      </c>
      <c r="G97" s="80">
        <v>0</v>
      </c>
      <c r="H97" s="71">
        <f>(C97+2*D97+3*E97+4*F97+5*G97)/40</f>
        <v>1.55</v>
      </c>
      <c r="I97" s="81"/>
      <c r="J97" s="82"/>
      <c r="K97" s="7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</row>
    <row r="98" spans="1:25" x14ac:dyDescent="0.25">
      <c r="A98" s="79" t="s">
        <v>168</v>
      </c>
      <c r="B98" s="69">
        <v>1</v>
      </c>
      <c r="C98" s="70">
        <v>16</v>
      </c>
      <c r="D98" s="70">
        <v>7</v>
      </c>
      <c r="E98" s="70">
        <v>3</v>
      </c>
      <c r="F98" s="70">
        <v>1</v>
      </c>
      <c r="G98" s="80">
        <v>1</v>
      </c>
      <c r="H98" s="71">
        <f>(C98+2*D98+3*E98+4*F98+5*G98)/28</f>
        <v>1.7142857142857142</v>
      </c>
      <c r="I98" s="81"/>
      <c r="J98" s="82"/>
      <c r="K98" s="7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</row>
    <row r="99" spans="1:25" x14ac:dyDescent="0.25">
      <c r="A99" s="68" t="s">
        <v>170</v>
      </c>
      <c r="B99" s="69">
        <v>1</v>
      </c>
      <c r="C99" s="70">
        <v>2</v>
      </c>
      <c r="D99" s="70">
        <v>1</v>
      </c>
      <c r="E99" s="70">
        <v>0</v>
      </c>
      <c r="F99" s="70">
        <v>0</v>
      </c>
      <c r="G99" s="80">
        <v>0</v>
      </c>
      <c r="H99" s="71"/>
      <c r="I99" s="81"/>
      <c r="J99" s="82"/>
      <c r="K99" s="7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</row>
    <row r="100" spans="1:25" x14ac:dyDescent="0.25">
      <c r="A100" s="27" t="s">
        <v>10</v>
      </c>
      <c r="B100" s="70">
        <f t="shared" ref="B100:G100" si="14">SUM(B91:B99)</f>
        <v>33</v>
      </c>
      <c r="C100" s="70">
        <f t="shared" si="14"/>
        <v>155</v>
      </c>
      <c r="D100" s="70">
        <f t="shared" si="14"/>
        <v>104</v>
      </c>
      <c r="E100" s="70">
        <f t="shared" si="14"/>
        <v>24</v>
      </c>
      <c r="F100" s="70">
        <f t="shared" si="14"/>
        <v>4</v>
      </c>
      <c r="G100" s="70">
        <f t="shared" si="14"/>
        <v>4</v>
      </c>
      <c r="H100" s="71">
        <f>(C100+2*D100+3*E100+4*F100+5*G100)/324</f>
        <v>1.4537037037037037</v>
      </c>
      <c r="I100" s="81"/>
      <c r="J100" s="82"/>
      <c r="K100" s="7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</row>
    <row r="101" spans="1:25" x14ac:dyDescent="0.25">
      <c r="A101" s="22"/>
      <c r="B101" s="81"/>
      <c r="C101" s="81"/>
      <c r="D101" s="81"/>
      <c r="E101" s="81"/>
      <c r="F101" s="81"/>
      <c r="G101" s="81"/>
      <c r="H101" s="84"/>
      <c r="I101" s="81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</row>
    <row r="102" spans="1:25" x14ac:dyDescent="0.25">
      <c r="A102" s="22" t="s">
        <v>171</v>
      </c>
      <c r="B102" s="81"/>
      <c r="C102" s="81"/>
      <c r="D102" s="81"/>
      <c r="E102" s="81"/>
      <c r="F102" s="81"/>
      <c r="G102" s="81"/>
      <c r="H102" s="84"/>
      <c r="I102" s="81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</row>
    <row r="103" spans="1:25" x14ac:dyDescent="0.25">
      <c r="A103" s="22"/>
      <c r="B103" s="81"/>
      <c r="C103" s="81"/>
      <c r="D103" s="81"/>
      <c r="E103" s="81"/>
      <c r="F103" s="81"/>
      <c r="G103" s="81"/>
      <c r="H103" s="84"/>
      <c r="I103" s="81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</row>
    <row r="104" spans="1:25" x14ac:dyDescent="0.25">
      <c r="A104" s="62"/>
      <c r="B104" s="85" t="s">
        <v>7</v>
      </c>
      <c r="C104" s="86"/>
      <c r="D104" s="85" t="s">
        <v>8</v>
      </c>
      <c r="E104" s="86"/>
      <c r="F104" s="85" t="s">
        <v>9</v>
      </c>
      <c r="G104" s="86"/>
      <c r="H104" s="87" t="s">
        <v>173</v>
      </c>
      <c r="I104" s="86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</row>
    <row r="105" spans="1:25" x14ac:dyDescent="0.25">
      <c r="A105" s="27" t="s">
        <v>172</v>
      </c>
      <c r="B105" s="70" t="s">
        <v>5</v>
      </c>
      <c r="C105" s="70" t="s">
        <v>6</v>
      </c>
      <c r="D105" s="70" t="s">
        <v>5</v>
      </c>
      <c r="E105" s="70" t="s">
        <v>6</v>
      </c>
      <c r="F105" s="70" t="s">
        <v>5</v>
      </c>
      <c r="G105" s="70" t="s">
        <v>6</v>
      </c>
      <c r="H105" s="71" t="s">
        <v>5</v>
      </c>
      <c r="I105" s="70" t="s">
        <v>6</v>
      </c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</row>
    <row r="106" spans="1:25" x14ac:dyDescent="0.25">
      <c r="A106" s="27">
        <v>0</v>
      </c>
      <c r="B106" s="70">
        <v>38</v>
      </c>
      <c r="C106" s="70">
        <f>(B106/389)*100</f>
        <v>9.7686375321336758</v>
      </c>
      <c r="D106" s="70">
        <v>52</v>
      </c>
      <c r="E106" s="70">
        <f>(D106/300)*100</f>
        <v>17.333333333333336</v>
      </c>
      <c r="F106" s="70">
        <v>33</v>
      </c>
      <c r="G106" s="70">
        <f>(F106/324)*100</f>
        <v>10.185185185185185</v>
      </c>
      <c r="H106" s="70">
        <f>(B106+D106+F106)</f>
        <v>123</v>
      </c>
      <c r="I106" s="70">
        <f>(H106/1013)*100</f>
        <v>12.142152023692004</v>
      </c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</row>
    <row r="107" spans="1:25" x14ac:dyDescent="0.25">
      <c r="A107" s="27">
        <v>1</v>
      </c>
      <c r="B107" s="70">
        <v>194</v>
      </c>
      <c r="C107" s="70">
        <f t="shared" ref="C107:C115" si="15">(B107/389)*100</f>
        <v>49.871465295629818</v>
      </c>
      <c r="D107" s="70">
        <v>160</v>
      </c>
      <c r="E107" s="70">
        <f t="shared" ref="E107:E115" si="16">(D107/300)*100</f>
        <v>53.333333333333336</v>
      </c>
      <c r="F107" s="70">
        <v>155</v>
      </c>
      <c r="G107" s="70">
        <f t="shared" ref="G107:G115" si="17">(F107/324)*100</f>
        <v>47.839506172839506</v>
      </c>
      <c r="H107" s="70">
        <f t="shared" ref="H107:H115" si="18">(B107+D107+F107)</f>
        <v>509</v>
      </c>
      <c r="I107" s="70">
        <f t="shared" ref="I107:I115" si="19">(H107/1013)*100</f>
        <v>50.246791707798621</v>
      </c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</row>
    <row r="108" spans="1:25" x14ac:dyDescent="0.25">
      <c r="A108" s="27">
        <v>2</v>
      </c>
      <c r="B108" s="70">
        <v>101</v>
      </c>
      <c r="C108" s="70">
        <f t="shared" si="15"/>
        <v>25.96401028277635</v>
      </c>
      <c r="D108" s="70">
        <v>58</v>
      </c>
      <c r="E108" s="70">
        <f t="shared" si="16"/>
        <v>19.333333333333332</v>
      </c>
      <c r="F108" s="70">
        <v>104</v>
      </c>
      <c r="G108" s="70">
        <f t="shared" si="17"/>
        <v>32.098765432098766</v>
      </c>
      <c r="H108" s="70">
        <f t="shared" si="18"/>
        <v>263</v>
      </c>
      <c r="I108" s="70">
        <f t="shared" si="19"/>
        <v>25.962487660414613</v>
      </c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</row>
    <row r="109" spans="1:25" x14ac:dyDescent="0.25">
      <c r="A109" s="27">
        <v>3</v>
      </c>
      <c r="B109" s="70">
        <v>36</v>
      </c>
      <c r="C109" s="70">
        <f t="shared" si="15"/>
        <v>9.2544987146529554</v>
      </c>
      <c r="D109" s="70">
        <v>15</v>
      </c>
      <c r="E109" s="70">
        <f t="shared" si="16"/>
        <v>5</v>
      </c>
      <c r="F109" s="70">
        <v>24</v>
      </c>
      <c r="G109" s="70">
        <f t="shared" si="17"/>
        <v>7.4074074074074066</v>
      </c>
      <c r="H109" s="70">
        <f t="shared" si="18"/>
        <v>75</v>
      </c>
      <c r="I109" s="70">
        <f t="shared" si="19"/>
        <v>7.4037512339585385</v>
      </c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</row>
    <row r="110" spans="1:25" x14ac:dyDescent="0.25">
      <c r="A110" s="27">
        <v>4</v>
      </c>
      <c r="B110" s="70">
        <v>14</v>
      </c>
      <c r="C110" s="70">
        <f t="shared" si="15"/>
        <v>3.5989717223650386</v>
      </c>
      <c r="D110" s="70">
        <v>11</v>
      </c>
      <c r="E110" s="70">
        <f t="shared" si="16"/>
        <v>3.6666666666666665</v>
      </c>
      <c r="F110" s="70">
        <v>4</v>
      </c>
      <c r="G110" s="70">
        <f t="shared" si="17"/>
        <v>1.2345679012345678</v>
      </c>
      <c r="H110" s="70">
        <f t="shared" si="18"/>
        <v>29</v>
      </c>
      <c r="I110" s="70">
        <f t="shared" si="19"/>
        <v>2.8627838104639687</v>
      </c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</row>
    <row r="111" spans="1:25" x14ac:dyDescent="0.25">
      <c r="A111" s="27">
        <v>5</v>
      </c>
      <c r="B111" s="70">
        <v>4</v>
      </c>
      <c r="C111" s="70">
        <f t="shared" si="15"/>
        <v>1.0282776349614395</v>
      </c>
      <c r="D111" s="70">
        <v>1</v>
      </c>
      <c r="E111" s="70">
        <f t="shared" si="16"/>
        <v>0.33333333333333337</v>
      </c>
      <c r="F111" s="70">
        <v>4</v>
      </c>
      <c r="G111" s="70">
        <f t="shared" si="17"/>
        <v>1.2345679012345678</v>
      </c>
      <c r="H111" s="70">
        <f t="shared" si="18"/>
        <v>9</v>
      </c>
      <c r="I111" s="70">
        <f t="shared" si="19"/>
        <v>0.88845014807502465</v>
      </c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</row>
    <row r="112" spans="1:25" x14ac:dyDescent="0.25">
      <c r="A112" s="27">
        <v>6</v>
      </c>
      <c r="B112" s="70">
        <v>0</v>
      </c>
      <c r="C112" s="70">
        <f t="shared" si="15"/>
        <v>0</v>
      </c>
      <c r="D112" s="70">
        <v>2</v>
      </c>
      <c r="E112" s="70">
        <f t="shared" si="16"/>
        <v>0.66666666666666674</v>
      </c>
      <c r="F112" s="70">
        <v>0</v>
      </c>
      <c r="G112" s="70">
        <f t="shared" si="17"/>
        <v>0</v>
      </c>
      <c r="H112" s="70">
        <f t="shared" si="18"/>
        <v>2</v>
      </c>
      <c r="I112" s="70">
        <f t="shared" si="19"/>
        <v>0.19743336623889435</v>
      </c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</row>
    <row r="113" spans="1:25" x14ac:dyDescent="0.25">
      <c r="A113" s="27">
        <v>7</v>
      </c>
      <c r="B113" s="70">
        <v>0</v>
      </c>
      <c r="C113" s="70">
        <f t="shared" si="15"/>
        <v>0</v>
      </c>
      <c r="D113" s="70">
        <v>1</v>
      </c>
      <c r="E113" s="70">
        <f t="shared" si="16"/>
        <v>0.33333333333333337</v>
      </c>
      <c r="F113" s="70">
        <v>0</v>
      </c>
      <c r="G113" s="70">
        <f t="shared" si="17"/>
        <v>0</v>
      </c>
      <c r="H113" s="70">
        <f t="shared" si="18"/>
        <v>1</v>
      </c>
      <c r="I113" s="70">
        <f t="shared" si="19"/>
        <v>9.8716683119447174E-2</v>
      </c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</row>
    <row r="114" spans="1:25" x14ac:dyDescent="0.25">
      <c r="A114" s="27">
        <v>8</v>
      </c>
      <c r="B114" s="70">
        <v>2</v>
      </c>
      <c r="C114" s="70">
        <f t="shared" si="15"/>
        <v>0.51413881748071977</v>
      </c>
      <c r="D114" s="70">
        <v>0</v>
      </c>
      <c r="E114" s="70">
        <f t="shared" si="16"/>
        <v>0</v>
      </c>
      <c r="F114" s="70">
        <v>0</v>
      </c>
      <c r="G114" s="70">
        <f t="shared" si="17"/>
        <v>0</v>
      </c>
      <c r="H114" s="70">
        <f t="shared" si="18"/>
        <v>2</v>
      </c>
      <c r="I114" s="70">
        <f t="shared" si="19"/>
        <v>0.19743336623889435</v>
      </c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</row>
    <row r="115" spans="1:25" x14ac:dyDescent="0.25">
      <c r="A115" s="27" t="s">
        <v>10</v>
      </c>
      <c r="B115" s="70">
        <f>SUM(B106:B114)</f>
        <v>389</v>
      </c>
      <c r="C115" s="70">
        <f t="shared" si="15"/>
        <v>100</v>
      </c>
      <c r="D115" s="70">
        <f>SUM(D106:D114)</f>
        <v>300</v>
      </c>
      <c r="E115" s="70">
        <f t="shared" si="16"/>
        <v>100</v>
      </c>
      <c r="F115" s="70">
        <f>SUM(F106:F114)</f>
        <v>324</v>
      </c>
      <c r="G115" s="70">
        <f t="shared" si="17"/>
        <v>100</v>
      </c>
      <c r="H115" s="70">
        <f t="shared" si="18"/>
        <v>1013</v>
      </c>
      <c r="I115" s="70">
        <f t="shared" si="19"/>
        <v>100</v>
      </c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</row>
    <row r="116" spans="1:25" x14ac:dyDescent="0.25">
      <c r="A116" s="22"/>
      <c r="B116" s="81"/>
      <c r="C116" s="81"/>
      <c r="D116" s="81"/>
      <c r="E116" s="81"/>
      <c r="F116" s="81"/>
      <c r="G116" s="81"/>
      <c r="H116" s="84"/>
      <c r="I116" s="81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</row>
    <row r="117" spans="1:25" x14ac:dyDescent="0.25">
      <c r="A117" s="22" t="s">
        <v>174</v>
      </c>
      <c r="B117" s="81"/>
      <c r="C117" s="81"/>
      <c r="D117" s="81"/>
      <c r="E117" s="81"/>
      <c r="F117" s="81"/>
      <c r="G117" s="81"/>
      <c r="H117" s="84"/>
      <c r="I117" s="81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</row>
    <row r="118" spans="1:25" x14ac:dyDescent="0.25">
      <c r="A118" s="22"/>
      <c r="B118" s="81"/>
      <c r="C118" s="81"/>
      <c r="D118" s="81"/>
      <c r="E118" s="81"/>
      <c r="F118" s="81"/>
      <c r="G118" s="81"/>
      <c r="H118" s="84"/>
      <c r="I118" s="81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</row>
    <row r="119" spans="1:25" x14ac:dyDescent="0.25">
      <c r="A119" s="27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</row>
    <row r="120" spans="1:25" x14ac:dyDescent="0.25">
      <c r="A120" s="12" t="s">
        <v>159</v>
      </c>
      <c r="B120" s="24">
        <v>0</v>
      </c>
      <c r="C120" s="24">
        <v>1</v>
      </c>
      <c r="D120" s="24">
        <v>2</v>
      </c>
      <c r="E120" s="24">
        <v>3</v>
      </c>
      <c r="F120" s="24">
        <v>4</v>
      </c>
      <c r="G120" s="24">
        <v>5</v>
      </c>
      <c r="H120" s="24">
        <v>6</v>
      </c>
      <c r="I120" s="24">
        <v>7</v>
      </c>
      <c r="J120" s="25">
        <v>8</v>
      </c>
      <c r="K120" s="25" t="s">
        <v>160</v>
      </c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</row>
    <row r="121" spans="1:25" ht="15.75" customHeight="1" x14ac:dyDescent="0.25">
      <c r="A121" s="68" t="s">
        <v>162</v>
      </c>
      <c r="B121" s="70">
        <f>(11+15+15)</f>
        <v>41</v>
      </c>
      <c r="C121" s="70">
        <f>(72+46+75)</f>
        <v>193</v>
      </c>
      <c r="D121" s="70">
        <f>(49+18+40)</f>
        <v>107</v>
      </c>
      <c r="E121" s="70">
        <f>(14+5+5)</f>
        <v>24</v>
      </c>
      <c r="F121" s="70">
        <f>(6+5+0)</f>
        <v>11</v>
      </c>
      <c r="G121" s="70">
        <f>(1+0+2)</f>
        <v>3</v>
      </c>
      <c r="H121" s="70">
        <v>2</v>
      </c>
      <c r="I121" s="70">
        <v>1</v>
      </c>
      <c r="J121" s="69">
        <v>0</v>
      </c>
      <c r="K121" s="75">
        <f>(C121+2*D121+3*E121+4*F121+5*G121+6*H121+7*I121+8*J121)/382</f>
        <v>1.4581151832460733</v>
      </c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  <c r="W121" s="82"/>
      <c r="X121" s="82"/>
      <c r="Y121" s="82"/>
    </row>
    <row r="122" spans="1:25" ht="15.75" customHeight="1" x14ac:dyDescent="0.25">
      <c r="A122" s="79" t="s">
        <v>163</v>
      </c>
      <c r="B122" s="70">
        <f>(1+5+1)</f>
        <v>7</v>
      </c>
      <c r="C122" s="70">
        <f>(13+15+8)</f>
        <v>36</v>
      </c>
      <c r="D122" s="70">
        <f>(4+13+11)</f>
        <v>28</v>
      </c>
      <c r="E122" s="70">
        <f>(8+4+4)</f>
        <v>16</v>
      </c>
      <c r="F122" s="70">
        <f>(0+0+0)</f>
        <v>0</v>
      </c>
      <c r="G122" s="70">
        <f>(0+0+0)</f>
        <v>0</v>
      </c>
      <c r="H122" s="70">
        <v>0</v>
      </c>
      <c r="I122" s="70">
        <v>0</v>
      </c>
      <c r="J122" s="69">
        <v>0</v>
      </c>
      <c r="K122" s="75">
        <f>(C122+2*D122+3*E122+4*F122+5*G122+6*H122+7*I122+8*J122)/87</f>
        <v>1.6091954022988506</v>
      </c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2"/>
      <c r="W122" s="82"/>
      <c r="X122" s="82"/>
      <c r="Y122" s="82"/>
    </row>
    <row r="123" spans="1:25" ht="15.75" customHeight="1" x14ac:dyDescent="0.25">
      <c r="A123" s="79" t="s">
        <v>164</v>
      </c>
      <c r="B123" s="70">
        <f>(10+5+6)</f>
        <v>21</v>
      </c>
      <c r="C123" s="70">
        <f>(19+16+16)</f>
        <v>51</v>
      </c>
      <c r="D123" s="70">
        <f>(13+6+20)</f>
        <v>39</v>
      </c>
      <c r="E123" s="70">
        <f>(2+1+6)</f>
        <v>9</v>
      </c>
      <c r="F123" s="70">
        <v>6</v>
      </c>
      <c r="G123" s="70">
        <v>0</v>
      </c>
      <c r="H123" s="70">
        <v>0</v>
      </c>
      <c r="I123" s="70">
        <v>0</v>
      </c>
      <c r="J123" s="69">
        <v>0</v>
      </c>
      <c r="K123" s="75">
        <f>(C123+2*D123+3*E123+4*F123+5*G123+6*H123+7*I123+8*J123)/126</f>
        <v>1.4285714285714286</v>
      </c>
      <c r="L123" s="82"/>
      <c r="M123" s="82"/>
      <c r="N123" s="82"/>
      <c r="O123" s="82"/>
      <c r="P123" s="82"/>
      <c r="Q123" s="82"/>
      <c r="R123" s="82"/>
      <c r="S123" s="82"/>
      <c r="T123" s="82"/>
      <c r="U123" s="82"/>
      <c r="V123" s="82"/>
      <c r="W123" s="82"/>
      <c r="X123" s="82"/>
      <c r="Y123" s="82"/>
    </row>
    <row r="124" spans="1:25" ht="30" x14ac:dyDescent="0.25">
      <c r="A124" s="83" t="s">
        <v>169</v>
      </c>
      <c r="B124" s="70">
        <v>0</v>
      </c>
      <c r="C124" s="70">
        <v>0</v>
      </c>
      <c r="D124" s="70">
        <v>3</v>
      </c>
      <c r="E124" s="70">
        <v>0</v>
      </c>
      <c r="F124" s="70">
        <v>0</v>
      </c>
      <c r="G124" s="70">
        <v>0</v>
      </c>
      <c r="H124" s="70">
        <v>0</v>
      </c>
      <c r="I124" s="70">
        <v>0</v>
      </c>
      <c r="J124" s="69">
        <v>0</v>
      </c>
      <c r="K124" s="75">
        <f>(C124+2*D124+3*E124+4*F124+5*G124+6*H124+7*I124+8*J124)/3</f>
        <v>2</v>
      </c>
      <c r="L124" s="82"/>
      <c r="M124" s="82"/>
      <c r="N124" s="82"/>
      <c r="O124" s="82"/>
      <c r="P124" s="82"/>
      <c r="Q124" s="82"/>
      <c r="R124" s="82"/>
      <c r="S124" s="82"/>
      <c r="T124" s="82"/>
      <c r="U124" s="82"/>
      <c r="V124" s="82"/>
      <c r="W124" s="82"/>
      <c r="X124" s="82"/>
      <c r="Y124" s="82"/>
    </row>
    <row r="125" spans="1:25" x14ac:dyDescent="0.25">
      <c r="A125" s="79" t="s">
        <v>165</v>
      </c>
      <c r="B125" s="70">
        <v>0</v>
      </c>
      <c r="C125" s="70">
        <v>6</v>
      </c>
      <c r="D125" s="70">
        <v>4</v>
      </c>
      <c r="E125" s="70">
        <v>1</v>
      </c>
      <c r="F125" s="70">
        <v>1</v>
      </c>
      <c r="G125" s="70">
        <v>0</v>
      </c>
      <c r="H125" s="70">
        <v>0</v>
      </c>
      <c r="I125" s="70">
        <v>0</v>
      </c>
      <c r="J125" s="69">
        <v>0</v>
      </c>
      <c r="K125" s="75">
        <f>(C125+2*D125+3*E125+4*F125+5*G125+6*H125+7*I125+8*J125)/12</f>
        <v>1.75</v>
      </c>
      <c r="L125" s="82"/>
      <c r="M125" s="82"/>
      <c r="N125" s="82"/>
      <c r="O125" s="82"/>
      <c r="P125" s="82"/>
      <c r="Q125" s="82"/>
      <c r="R125" s="82"/>
      <c r="S125" s="82"/>
      <c r="T125" s="82"/>
      <c r="U125" s="82"/>
      <c r="V125" s="82"/>
      <c r="W125" s="82"/>
      <c r="X125" s="82"/>
      <c r="Y125" s="82"/>
    </row>
    <row r="126" spans="1:25" x14ac:dyDescent="0.25">
      <c r="A126" s="79" t="s">
        <v>166</v>
      </c>
      <c r="B126" s="70">
        <f>(9+15+6)</f>
        <v>30</v>
      </c>
      <c r="C126" s="70">
        <f>(34+38+18)</f>
        <v>90</v>
      </c>
      <c r="D126" s="70">
        <f>(8+10+9)</f>
        <v>27</v>
      </c>
      <c r="E126" s="70">
        <f>(2+2+1)</f>
        <v>5</v>
      </c>
      <c r="F126" s="70">
        <v>3</v>
      </c>
      <c r="G126" s="70">
        <v>1</v>
      </c>
      <c r="H126" s="70">
        <v>0</v>
      </c>
      <c r="I126" s="70">
        <v>0</v>
      </c>
      <c r="J126" s="69">
        <v>1</v>
      </c>
      <c r="K126" s="75">
        <f>(C126+2*D126+3*E126+4*F126+5*G126+6*H126+7*I126+8*J126)/158</f>
        <v>1.1645569620253164</v>
      </c>
      <c r="L126" s="82"/>
      <c r="M126" s="82"/>
      <c r="N126" s="82"/>
      <c r="O126" s="82"/>
      <c r="P126" s="82"/>
      <c r="Q126" s="82"/>
      <c r="R126" s="82"/>
      <c r="S126" s="82"/>
      <c r="T126" s="82"/>
      <c r="U126" s="82"/>
      <c r="V126" s="82"/>
      <c r="W126" s="82"/>
      <c r="X126" s="82"/>
      <c r="Y126" s="82"/>
    </row>
    <row r="127" spans="1:25" x14ac:dyDescent="0.25">
      <c r="A127" s="79" t="s">
        <v>167</v>
      </c>
      <c r="B127" s="70">
        <v>14</v>
      </c>
      <c r="C127" s="70">
        <f>(38+27+18)</f>
        <v>83</v>
      </c>
      <c r="D127" s="70">
        <f>(18+6+14)</f>
        <v>38</v>
      </c>
      <c r="E127" s="70">
        <v>15</v>
      </c>
      <c r="F127" s="70">
        <v>6</v>
      </c>
      <c r="G127" s="70">
        <v>4</v>
      </c>
      <c r="H127" s="70">
        <v>0</v>
      </c>
      <c r="I127" s="70">
        <v>0</v>
      </c>
      <c r="J127" s="69">
        <v>1</v>
      </c>
      <c r="K127" s="75">
        <f>(C127+2*D127+3*E127+4*F127+5*G127+6*H127+7*I127+8*J127)/161</f>
        <v>1.5900621118012421</v>
      </c>
      <c r="L127" s="82"/>
      <c r="M127" s="82"/>
      <c r="N127" s="82"/>
      <c r="O127" s="82"/>
      <c r="P127" s="82"/>
      <c r="Q127" s="82"/>
      <c r="R127" s="82"/>
      <c r="S127" s="82"/>
      <c r="T127" s="82"/>
      <c r="U127" s="82"/>
      <c r="V127" s="82"/>
      <c r="W127" s="82"/>
      <c r="X127" s="82"/>
      <c r="Y127" s="82"/>
    </row>
    <row r="128" spans="1:25" x14ac:dyDescent="0.25">
      <c r="A128" s="79" t="s">
        <v>168</v>
      </c>
      <c r="B128" s="70">
        <v>5</v>
      </c>
      <c r="C128" s="70">
        <f>(15+15+16)</f>
        <v>46</v>
      </c>
      <c r="D128" s="70">
        <v>16</v>
      </c>
      <c r="E128" s="70">
        <v>5</v>
      </c>
      <c r="F128" s="70">
        <v>2</v>
      </c>
      <c r="G128" s="70">
        <v>1</v>
      </c>
      <c r="H128" s="70">
        <v>0</v>
      </c>
      <c r="I128" s="70">
        <v>0</v>
      </c>
      <c r="J128" s="69">
        <v>0</v>
      </c>
      <c r="K128" s="75">
        <f>(C128+2*D128+3*E128+4*F128+5*G128+6*H128+7*I128+8*J128)/75</f>
        <v>1.4133333333333333</v>
      </c>
      <c r="L128" s="82"/>
      <c r="M128" s="82"/>
      <c r="N128" s="82"/>
      <c r="O128" s="82"/>
      <c r="P128" s="82"/>
      <c r="Q128" s="82"/>
      <c r="R128" s="82"/>
      <c r="S128" s="82"/>
      <c r="T128" s="82"/>
      <c r="U128" s="82"/>
      <c r="V128" s="82"/>
      <c r="W128" s="82"/>
      <c r="X128" s="82"/>
      <c r="Y128" s="82"/>
    </row>
    <row r="129" spans="1:25" x14ac:dyDescent="0.25">
      <c r="A129" s="68" t="s">
        <v>170</v>
      </c>
      <c r="B129" s="70">
        <v>5</v>
      </c>
      <c r="C129" s="70">
        <v>4</v>
      </c>
      <c r="D129" s="70">
        <v>1</v>
      </c>
      <c r="E129" s="70">
        <v>0</v>
      </c>
      <c r="F129" s="70">
        <v>0</v>
      </c>
      <c r="G129" s="70">
        <v>0</v>
      </c>
      <c r="H129" s="70">
        <v>0</v>
      </c>
      <c r="I129" s="70">
        <v>0</v>
      </c>
      <c r="J129" s="69">
        <v>0</v>
      </c>
      <c r="K129" s="75"/>
      <c r="L129" s="82"/>
      <c r="M129" s="82"/>
      <c r="N129" s="82"/>
      <c r="O129" s="82"/>
      <c r="P129" s="82"/>
      <c r="Q129" s="82"/>
      <c r="R129" s="82"/>
      <c r="S129" s="82"/>
      <c r="T129" s="82"/>
      <c r="U129" s="82"/>
      <c r="V129" s="82"/>
      <c r="W129" s="82"/>
      <c r="X129" s="82"/>
      <c r="Y129" s="82"/>
    </row>
    <row r="130" spans="1:25" x14ac:dyDescent="0.25">
      <c r="A130" s="27" t="s">
        <v>10</v>
      </c>
      <c r="B130" s="70">
        <f>SUM(B121:B129)</f>
        <v>123</v>
      </c>
      <c r="C130" s="70">
        <f>SUM(C121:C129)</f>
        <v>509</v>
      </c>
      <c r="D130" s="70">
        <f t="shared" ref="D130:J130" si="20">SUM(D121:D129)</f>
        <v>263</v>
      </c>
      <c r="E130" s="70">
        <f t="shared" si="20"/>
        <v>75</v>
      </c>
      <c r="F130" s="70">
        <f t="shared" si="20"/>
        <v>29</v>
      </c>
      <c r="G130" s="70">
        <f t="shared" si="20"/>
        <v>9</v>
      </c>
      <c r="H130" s="70">
        <f t="shared" si="20"/>
        <v>2</v>
      </c>
      <c r="I130" s="70">
        <f t="shared" si="20"/>
        <v>1</v>
      </c>
      <c r="J130" s="70">
        <f t="shared" si="20"/>
        <v>2</v>
      </c>
      <c r="K130" s="75">
        <f>(C130+2*D130+3*E130+4*F130+5*G130+6*H130+7*I130+8*J130)/1003</f>
        <v>1.4516450648055832</v>
      </c>
      <c r="L130" s="82"/>
      <c r="M130" s="82"/>
      <c r="N130" s="82"/>
      <c r="O130" s="82"/>
      <c r="P130" s="82"/>
      <c r="Q130" s="82"/>
      <c r="R130" s="82"/>
      <c r="S130" s="82"/>
      <c r="T130" s="82"/>
      <c r="U130" s="82"/>
      <c r="V130" s="82"/>
      <c r="W130" s="82"/>
      <c r="X130" s="82"/>
      <c r="Y130" s="82"/>
    </row>
    <row r="131" spans="1:25" x14ac:dyDescent="0.25">
      <c r="A131" s="88"/>
      <c r="B131" s="88"/>
      <c r="C131" s="89"/>
      <c r="D131" s="88"/>
      <c r="E131" s="89"/>
      <c r="F131" s="88"/>
      <c r="G131" s="89"/>
      <c r="H131" s="88"/>
      <c r="I131" s="89"/>
      <c r="J131" s="82"/>
      <c r="K131" s="82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2"/>
    </row>
    <row r="132" spans="1:25" x14ac:dyDescent="0.25">
      <c r="A132" s="4" t="s">
        <v>158</v>
      </c>
      <c r="B132" s="36"/>
      <c r="C132" s="37"/>
      <c r="D132" s="36"/>
      <c r="E132" s="37"/>
      <c r="F132" s="36"/>
      <c r="G132" s="37"/>
      <c r="H132" s="36"/>
      <c r="I132" s="37"/>
    </row>
    <row r="133" spans="1:25" x14ac:dyDescent="0.25">
      <c r="A133" s="65"/>
      <c r="B133" s="36"/>
      <c r="C133" s="37"/>
      <c r="D133" s="36"/>
      <c r="E133" s="37"/>
      <c r="F133" s="36"/>
      <c r="G133" s="37"/>
      <c r="H133" s="36"/>
      <c r="I133" s="37"/>
    </row>
    <row r="134" spans="1:25" x14ac:dyDescent="0.25">
      <c r="A134" s="62"/>
      <c r="B134" s="62" t="s">
        <v>7</v>
      </c>
      <c r="C134" s="63"/>
      <c r="D134" s="69" t="s">
        <v>8</v>
      </c>
      <c r="E134" s="90"/>
      <c r="F134" s="69" t="s">
        <v>9</v>
      </c>
      <c r="G134" s="90"/>
      <c r="H134" s="69" t="s">
        <v>10</v>
      </c>
      <c r="I134" s="90"/>
    </row>
    <row r="135" spans="1:25" x14ac:dyDescent="0.25">
      <c r="A135" s="62"/>
      <c r="B135" s="62" t="s">
        <v>5</v>
      </c>
      <c r="C135" s="63" t="s">
        <v>6</v>
      </c>
      <c r="D135" s="69" t="s">
        <v>5</v>
      </c>
      <c r="E135" s="90" t="s">
        <v>6</v>
      </c>
      <c r="F135" s="69" t="s">
        <v>5</v>
      </c>
      <c r="G135" s="90" t="s">
        <v>6</v>
      </c>
      <c r="H135" s="69" t="s">
        <v>5</v>
      </c>
      <c r="I135" s="90" t="s">
        <v>6</v>
      </c>
    </row>
    <row r="136" spans="1:25" x14ac:dyDescent="0.25">
      <c r="A136" s="62" t="s">
        <v>12</v>
      </c>
      <c r="B136" s="62">
        <f>(3+1+1+1)</f>
        <v>6</v>
      </c>
      <c r="C136" s="63">
        <f>(B136/B147)*100</f>
        <v>1.2195121951219512</v>
      </c>
      <c r="D136" s="69">
        <v>3</v>
      </c>
      <c r="E136" s="90">
        <f>(D136/D147)*100</f>
        <v>0.97719869706840379</v>
      </c>
      <c r="F136" s="69">
        <v>0</v>
      </c>
      <c r="G136" s="90">
        <f>(F136/F147)*100</f>
        <v>0</v>
      </c>
      <c r="H136" s="69">
        <f t="shared" ref="H136:H147" si="21">(B136+D136+F136)</f>
        <v>9</v>
      </c>
      <c r="I136" s="90">
        <f>(H136/H147)*100</f>
        <v>0.75566750629722923</v>
      </c>
    </row>
    <row r="137" spans="1:25" x14ac:dyDescent="0.25">
      <c r="A137" s="62" t="s">
        <v>13</v>
      </c>
      <c r="B137" s="62">
        <v>2</v>
      </c>
      <c r="C137" s="63">
        <f>(B137/B147)*100</f>
        <v>0.40650406504065045</v>
      </c>
      <c r="D137" s="69">
        <v>5</v>
      </c>
      <c r="E137" s="90">
        <f>(D137/D147)*100</f>
        <v>1.6286644951140066</v>
      </c>
      <c r="F137" s="69">
        <v>1</v>
      </c>
      <c r="G137" s="90">
        <f>(F137/F147)*100</f>
        <v>0.25510204081632654</v>
      </c>
      <c r="H137" s="69">
        <f t="shared" si="21"/>
        <v>8</v>
      </c>
      <c r="I137" s="90">
        <f>(H137/H147)*100</f>
        <v>0.67170445004198154</v>
      </c>
    </row>
    <row r="138" spans="1:25" x14ac:dyDescent="0.25">
      <c r="A138" s="62" t="s">
        <v>14</v>
      </c>
      <c r="B138" s="62">
        <v>0</v>
      </c>
      <c r="C138" s="63">
        <f>(B138/B147)*100</f>
        <v>0</v>
      </c>
      <c r="D138" s="69">
        <v>6</v>
      </c>
      <c r="E138" s="90">
        <f>(D138/D147)*100</f>
        <v>1.9543973941368076</v>
      </c>
      <c r="F138" s="69">
        <v>2</v>
      </c>
      <c r="G138" s="90">
        <f>(F138/F147)*100</f>
        <v>0.51020408163265307</v>
      </c>
      <c r="H138" s="69">
        <f t="shared" si="21"/>
        <v>8</v>
      </c>
      <c r="I138" s="90">
        <f>(H138/H147)*100</f>
        <v>0.67170445004198154</v>
      </c>
    </row>
    <row r="139" spans="1:25" x14ac:dyDescent="0.25">
      <c r="A139" s="62" t="s">
        <v>15</v>
      </c>
      <c r="B139" s="62">
        <v>4</v>
      </c>
      <c r="C139" s="63">
        <f>(B139/B147)*100</f>
        <v>0.81300813008130091</v>
      </c>
      <c r="D139" s="69">
        <v>4</v>
      </c>
      <c r="E139" s="90">
        <f>(D139/D147)*100</f>
        <v>1.3029315960912053</v>
      </c>
      <c r="F139" s="69">
        <v>0</v>
      </c>
      <c r="G139" s="90">
        <f>(F139/F147)*100</f>
        <v>0</v>
      </c>
      <c r="H139" s="69">
        <f t="shared" si="21"/>
        <v>8</v>
      </c>
      <c r="I139" s="90">
        <f>(H139/H147)*100</f>
        <v>0.67170445004198154</v>
      </c>
    </row>
    <row r="140" spans="1:25" x14ac:dyDescent="0.25">
      <c r="A140" s="62" t="s">
        <v>16</v>
      </c>
      <c r="B140" s="62">
        <v>14</v>
      </c>
      <c r="C140" s="63">
        <f>(B140/B147)*100</f>
        <v>2.8455284552845526</v>
      </c>
      <c r="D140" s="69">
        <v>7</v>
      </c>
      <c r="E140" s="90">
        <f>(D140/D147)*100</f>
        <v>2.2801302931596092</v>
      </c>
      <c r="F140" s="69">
        <v>13</v>
      </c>
      <c r="G140" s="90">
        <f>(F140/F147)*100</f>
        <v>3.3163265306122449</v>
      </c>
      <c r="H140" s="69">
        <f t="shared" si="21"/>
        <v>34</v>
      </c>
      <c r="I140" s="90">
        <f>(H140/H147)*100</f>
        <v>2.8547439126784218</v>
      </c>
    </row>
    <row r="141" spans="1:25" x14ac:dyDescent="0.25">
      <c r="A141" s="62" t="s">
        <v>17</v>
      </c>
      <c r="B141" s="62">
        <v>12</v>
      </c>
      <c r="C141" s="63">
        <f>(B141/B147)*100</f>
        <v>2.4390243902439024</v>
      </c>
      <c r="D141" s="69">
        <v>24</v>
      </c>
      <c r="E141" s="90">
        <f>(D141/D147)*100</f>
        <v>7.8175895765472303</v>
      </c>
      <c r="F141" s="69">
        <v>20</v>
      </c>
      <c r="G141" s="90">
        <f>(F141/F147)*100</f>
        <v>5.1020408163265305</v>
      </c>
      <c r="H141" s="69">
        <f t="shared" si="21"/>
        <v>56</v>
      </c>
      <c r="I141" s="90">
        <f>(H141/H147)*100</f>
        <v>4.7019311502938708</v>
      </c>
    </row>
    <row r="142" spans="1:25" x14ac:dyDescent="0.25">
      <c r="A142" s="62" t="s">
        <v>18</v>
      </c>
      <c r="B142" s="62">
        <v>27</v>
      </c>
      <c r="C142" s="63">
        <f>(B142/B147)*100</f>
        <v>5.4878048780487809</v>
      </c>
      <c r="D142" s="69">
        <v>16</v>
      </c>
      <c r="E142" s="90">
        <f>(D142/D147)*100</f>
        <v>5.2117263843648214</v>
      </c>
      <c r="F142" s="69">
        <f>(4+1+3+7+2+7+1)</f>
        <v>25</v>
      </c>
      <c r="G142" s="90">
        <f>(F142/F147)*100</f>
        <v>6.3775510204081636</v>
      </c>
      <c r="H142" s="69">
        <f t="shared" si="21"/>
        <v>68</v>
      </c>
      <c r="I142" s="90">
        <f>(H142/H147)*100</f>
        <v>5.7094878253568435</v>
      </c>
    </row>
    <row r="143" spans="1:25" x14ac:dyDescent="0.25">
      <c r="A143" s="62" t="s">
        <v>19</v>
      </c>
      <c r="B143" s="62">
        <f>(58+7+4+5+2+3+13+1+26+3+7+2)</f>
        <v>131</v>
      </c>
      <c r="C143" s="63">
        <f>(B143/B147)*100</f>
        <v>26.626016260162601</v>
      </c>
      <c r="D143" s="69">
        <f>(34+5+1+1+1+1+10+1+11+1+3+1)</f>
        <v>70</v>
      </c>
      <c r="E143" s="90">
        <f>(D143/D147)*100</f>
        <v>22.801302931596091</v>
      </c>
      <c r="F143" s="69">
        <f>(42+7+3+3+3+4+6+3+13+3+3+1+3)</f>
        <v>94</v>
      </c>
      <c r="G143" s="90">
        <f>(F143/F147)*100</f>
        <v>23.979591836734691</v>
      </c>
      <c r="H143" s="69">
        <f t="shared" si="21"/>
        <v>295</v>
      </c>
      <c r="I143" s="90">
        <f>(H143/H147)*100</f>
        <v>24.769101595298068</v>
      </c>
    </row>
    <row r="144" spans="1:25" x14ac:dyDescent="0.25">
      <c r="A144" s="62" t="s">
        <v>20</v>
      </c>
      <c r="B144" s="62">
        <f>(41+5+3+2+5+3+9+2+4)</f>
        <v>74</v>
      </c>
      <c r="C144" s="63">
        <f>(B144/B147)*100</f>
        <v>15.040650406504067</v>
      </c>
      <c r="D144" s="69">
        <f>(27+1+1+3+2+4+14+1+1)</f>
        <v>54</v>
      </c>
      <c r="E144" s="90">
        <f>(D144/D147)*100</f>
        <v>17.589576547231271</v>
      </c>
      <c r="F144" s="69">
        <f>(44+2+2+5+4+3+2+13+1+2+3)</f>
        <v>81</v>
      </c>
      <c r="G144" s="90">
        <f>(F144/F147)*100</f>
        <v>20.663265306122451</v>
      </c>
      <c r="H144" s="69">
        <f t="shared" si="21"/>
        <v>209</v>
      </c>
      <c r="I144" s="90">
        <f t="shared" ref="I144" si="22">(H144/H147)*100</f>
        <v>17.548278757346765</v>
      </c>
    </row>
    <row r="145" spans="1:29" x14ac:dyDescent="0.25">
      <c r="A145" s="62" t="s">
        <v>21</v>
      </c>
      <c r="B145" s="62">
        <f>(59+3+6+2+5+7+5+2+19+2+15+8)</f>
        <v>133</v>
      </c>
      <c r="C145" s="63">
        <f>(B145/B147)*100</f>
        <v>27.032520325203251</v>
      </c>
      <c r="D145" s="69">
        <f>(30+1+4+2+3+1+12+1+1)</f>
        <v>55</v>
      </c>
      <c r="E145" s="90">
        <f>(D145/D147)*100</f>
        <v>17.915309446254071</v>
      </c>
      <c r="F145" s="69">
        <f>(48+2+1+5+3+1+17+1+3+5)</f>
        <v>86</v>
      </c>
      <c r="G145" s="90">
        <f>(F145/F147)*100</f>
        <v>21.938775510204081</v>
      </c>
      <c r="H145" s="69">
        <f t="shared" si="21"/>
        <v>274</v>
      </c>
      <c r="I145" s="90">
        <f>(H145/H147)*100</f>
        <v>23.005877413937867</v>
      </c>
    </row>
    <row r="146" spans="1:29" x14ac:dyDescent="0.25">
      <c r="A146" s="64" t="s">
        <v>22</v>
      </c>
      <c r="B146" s="62">
        <f>(32+3+1+2+9+2+3+15+10+12)</f>
        <v>89</v>
      </c>
      <c r="C146" s="63">
        <f>(B146/B147)*100</f>
        <v>18.089430894308943</v>
      </c>
      <c r="D146" s="69">
        <f>(24+3+3+1+3+14+9+6)</f>
        <v>63</v>
      </c>
      <c r="E146" s="90">
        <f>(D146/D147)*100</f>
        <v>20.521172638436482</v>
      </c>
      <c r="F146" s="69">
        <f>(35+1+3+3+1+19+4+4)</f>
        <v>70</v>
      </c>
      <c r="G146" s="90">
        <f>(F146/F147)*100</f>
        <v>17.857142857142858</v>
      </c>
      <c r="H146" s="69">
        <f t="shared" si="21"/>
        <v>222</v>
      </c>
      <c r="I146" s="90">
        <f>(H146/H147)*100</f>
        <v>18.639798488664987</v>
      </c>
    </row>
    <row r="147" spans="1:29" x14ac:dyDescent="0.25">
      <c r="A147" s="64" t="s">
        <v>10</v>
      </c>
      <c r="B147" s="62">
        <f>SUM(B136:B146)</f>
        <v>492</v>
      </c>
      <c r="C147" s="63">
        <f>SUM(C136:C146)</f>
        <v>100</v>
      </c>
      <c r="D147" s="69">
        <f t="shared" ref="D147" si="23">SUM(D136:D146)</f>
        <v>307</v>
      </c>
      <c r="E147" s="90">
        <f>SUM(E136:E146)</f>
        <v>100</v>
      </c>
      <c r="F147" s="69">
        <f t="shared" ref="F147" si="24">SUM(F136:F146)</f>
        <v>392</v>
      </c>
      <c r="G147" s="90">
        <f>SUM(G136:G146)</f>
        <v>100</v>
      </c>
      <c r="H147" s="69">
        <f t="shared" si="21"/>
        <v>1191</v>
      </c>
      <c r="I147" s="90">
        <f t="shared" ref="I147" si="25">SUM(I136:I146)</f>
        <v>100</v>
      </c>
    </row>
    <row r="148" spans="1:29" x14ac:dyDescent="0.25">
      <c r="A148" s="65"/>
      <c r="B148" s="36"/>
      <c r="C148" s="37"/>
      <c r="D148" s="88"/>
      <c r="E148" s="89"/>
      <c r="F148" s="88"/>
      <c r="G148" s="89"/>
      <c r="H148" s="88"/>
      <c r="I148" s="89"/>
    </row>
    <row r="149" spans="1:29" x14ac:dyDescent="0.25">
      <c r="A149" s="65"/>
      <c r="B149" s="36"/>
      <c r="C149" s="37"/>
      <c r="D149" s="88"/>
      <c r="E149" s="89"/>
      <c r="F149" s="88"/>
      <c r="G149" s="89"/>
      <c r="H149" s="88"/>
      <c r="I149" s="89"/>
    </row>
    <row r="150" spans="1:29" x14ac:dyDescent="0.25">
      <c r="A150" s="1" t="s">
        <v>298</v>
      </c>
      <c r="C150" s="60"/>
      <c r="D150" s="61"/>
      <c r="G150" s="60"/>
      <c r="H150" s="61"/>
      <c r="L150" s="61"/>
      <c r="M150" s="61"/>
      <c r="P150" s="61"/>
      <c r="Q150" s="61"/>
    </row>
    <row r="151" spans="1:29" x14ac:dyDescent="0.25">
      <c r="C151" s="60"/>
      <c r="D151" s="61"/>
      <c r="G151" s="60"/>
      <c r="H151" s="61"/>
      <c r="L151" s="61"/>
      <c r="M151" s="61"/>
      <c r="P151" s="61"/>
      <c r="Q151" s="61"/>
    </row>
    <row r="152" spans="1:29" ht="31.5" customHeight="1" x14ac:dyDescent="0.25">
      <c r="A152" s="62"/>
      <c r="B152" s="91" t="s">
        <v>175</v>
      </c>
      <c r="C152" s="92"/>
      <c r="D152" s="91" t="s">
        <v>176</v>
      </c>
      <c r="E152" s="92"/>
      <c r="F152" s="91" t="s">
        <v>177</v>
      </c>
      <c r="G152" s="92"/>
      <c r="H152" s="91" t="s">
        <v>178</v>
      </c>
      <c r="I152" s="92"/>
      <c r="J152" s="91" t="s">
        <v>179</v>
      </c>
      <c r="K152" s="92"/>
      <c r="L152" s="91" t="s">
        <v>295</v>
      </c>
      <c r="M152" s="92"/>
      <c r="N152" s="91" t="s">
        <v>181</v>
      </c>
      <c r="O152" s="92"/>
      <c r="P152" s="91" t="s">
        <v>182</v>
      </c>
      <c r="Q152" s="92"/>
      <c r="R152" s="91" t="s">
        <v>183</v>
      </c>
      <c r="S152" s="92"/>
      <c r="T152" s="91" t="s">
        <v>184</v>
      </c>
      <c r="U152" s="92"/>
      <c r="V152" s="91" t="s">
        <v>296</v>
      </c>
      <c r="W152" s="92"/>
      <c r="X152" s="91" t="s">
        <v>186</v>
      </c>
      <c r="Y152" s="92"/>
      <c r="Z152" s="57" t="s">
        <v>297</v>
      </c>
      <c r="AA152" s="58"/>
      <c r="AB152" s="57" t="s">
        <v>10</v>
      </c>
      <c r="AC152" s="59"/>
    </row>
    <row r="153" spans="1:29" x14ac:dyDescent="0.25">
      <c r="A153" s="62"/>
      <c r="B153" s="62" t="s">
        <v>5</v>
      </c>
      <c r="C153" s="62" t="s">
        <v>6</v>
      </c>
      <c r="D153" s="63" t="s">
        <v>5</v>
      </c>
      <c r="E153" s="63" t="s">
        <v>6</v>
      </c>
      <c r="F153" s="69" t="s">
        <v>5</v>
      </c>
      <c r="G153" s="69" t="s">
        <v>6</v>
      </c>
      <c r="H153" s="90" t="s">
        <v>5</v>
      </c>
      <c r="I153" s="90" t="s">
        <v>6</v>
      </c>
      <c r="J153" s="69" t="s">
        <v>5</v>
      </c>
      <c r="K153" s="69" t="s">
        <v>6</v>
      </c>
      <c r="L153" s="90" t="s">
        <v>5</v>
      </c>
      <c r="M153" s="90" t="s">
        <v>6</v>
      </c>
      <c r="N153" s="69" t="s">
        <v>5</v>
      </c>
      <c r="O153" s="69" t="s">
        <v>6</v>
      </c>
      <c r="P153" s="90" t="s">
        <v>5</v>
      </c>
      <c r="Q153" s="90" t="s">
        <v>6</v>
      </c>
      <c r="R153" s="62" t="s">
        <v>5</v>
      </c>
      <c r="S153" s="62" t="s">
        <v>6</v>
      </c>
      <c r="T153" s="62" t="s">
        <v>5</v>
      </c>
      <c r="U153" s="62" t="s">
        <v>6</v>
      </c>
      <c r="V153" s="62" t="s">
        <v>5</v>
      </c>
      <c r="W153" s="62" t="s">
        <v>6</v>
      </c>
      <c r="X153" s="62" t="s">
        <v>5</v>
      </c>
      <c r="Y153" s="62" t="s">
        <v>6</v>
      </c>
      <c r="Z153" s="2" t="s">
        <v>5</v>
      </c>
      <c r="AA153" s="2" t="s">
        <v>6</v>
      </c>
      <c r="AB153" s="2" t="s">
        <v>5</v>
      </c>
      <c r="AC153" s="2" t="s">
        <v>6</v>
      </c>
    </row>
    <row r="154" spans="1:29" x14ac:dyDescent="0.25">
      <c r="A154" s="62" t="s">
        <v>12</v>
      </c>
      <c r="B154" s="62">
        <v>3</v>
      </c>
      <c r="C154" s="75">
        <f>(B154/490)*100</f>
        <v>0.61224489795918369</v>
      </c>
      <c r="D154" s="77">
        <v>0</v>
      </c>
      <c r="E154" s="75">
        <v>0</v>
      </c>
      <c r="F154" s="69">
        <v>0</v>
      </c>
      <c r="G154" s="71">
        <f>(F154/29)*100</f>
        <v>0</v>
      </c>
      <c r="H154" s="70">
        <v>0</v>
      </c>
      <c r="I154" s="71">
        <f>(H154/14)*100</f>
        <v>0</v>
      </c>
      <c r="J154" s="69">
        <v>0</v>
      </c>
      <c r="K154" s="71">
        <f>(J154/38)*100</f>
        <v>0</v>
      </c>
      <c r="L154" s="70">
        <v>0</v>
      </c>
      <c r="M154" s="71">
        <f>(L154/46)*100</f>
        <v>0</v>
      </c>
      <c r="N154" s="69">
        <v>0</v>
      </c>
      <c r="O154" s="71">
        <f>(N154/110)*100</f>
        <v>0</v>
      </c>
      <c r="P154" s="70">
        <v>1</v>
      </c>
      <c r="Q154" s="71">
        <f>(P154/27)*100</f>
        <v>3.7037037037037033</v>
      </c>
      <c r="R154" s="62">
        <v>0</v>
      </c>
      <c r="S154" s="75">
        <f>(R154/226)*100</f>
        <v>0</v>
      </c>
      <c r="T154" s="62">
        <v>0</v>
      </c>
      <c r="U154" s="75">
        <f>(T154/11)*100</f>
        <v>0</v>
      </c>
      <c r="V154" s="62">
        <v>0</v>
      </c>
      <c r="W154" s="75">
        <f>(V154/15)*100</f>
        <v>0</v>
      </c>
      <c r="X154" s="62">
        <v>0</v>
      </c>
      <c r="Y154" s="75">
        <f>(X154/56)*100</f>
        <v>0</v>
      </c>
      <c r="Z154" s="2">
        <v>3</v>
      </c>
      <c r="AA154" s="17">
        <f>(Z154/59)*100</f>
        <v>5.0847457627118651</v>
      </c>
      <c r="AB154" s="16">
        <f>(B154+D154+F154+H154+J154+L154+N154++P154+R154+T154+V154+X154+Z154)</f>
        <v>7</v>
      </c>
      <c r="AC154" s="17">
        <f>(AB154/1164)*100</f>
        <v>0.60137457044673548</v>
      </c>
    </row>
    <row r="155" spans="1:29" x14ac:dyDescent="0.25">
      <c r="A155" s="62" t="s">
        <v>13</v>
      </c>
      <c r="B155" s="62">
        <v>1</v>
      </c>
      <c r="C155" s="75">
        <f t="shared" ref="C155:C164" si="26">(B155/490)*100</f>
        <v>0.20408163265306123</v>
      </c>
      <c r="D155" s="77">
        <v>0</v>
      </c>
      <c r="E155" s="75">
        <v>0</v>
      </c>
      <c r="F155" s="69">
        <v>1</v>
      </c>
      <c r="G155" s="71">
        <f t="shared" ref="G155:G164" si="27">(F155/29)*100</f>
        <v>3.4482758620689653</v>
      </c>
      <c r="H155" s="70">
        <v>0</v>
      </c>
      <c r="I155" s="71">
        <f t="shared" ref="I155:I164" si="28">(H155/14)*100</f>
        <v>0</v>
      </c>
      <c r="J155" s="69">
        <v>0</v>
      </c>
      <c r="K155" s="71">
        <f t="shared" ref="K155:K164" si="29">(J155/38)*100</f>
        <v>0</v>
      </c>
      <c r="L155" s="70">
        <v>0</v>
      </c>
      <c r="M155" s="71">
        <f t="shared" ref="M155:M164" si="30">(L155/46)*100</f>
        <v>0</v>
      </c>
      <c r="N155" s="69">
        <v>0</v>
      </c>
      <c r="O155" s="71">
        <f t="shared" ref="O155:O164" si="31">(N155/110)*100</f>
        <v>0</v>
      </c>
      <c r="P155" s="70">
        <v>0</v>
      </c>
      <c r="Q155" s="71">
        <f t="shared" ref="Q155:Q164" si="32">(P155/27)*100</f>
        <v>0</v>
      </c>
      <c r="R155" s="62">
        <v>1</v>
      </c>
      <c r="S155" s="75">
        <f t="shared" ref="S155:S164" si="33">(R155/226)*100</f>
        <v>0.44247787610619471</v>
      </c>
      <c r="T155" s="62">
        <v>0</v>
      </c>
      <c r="U155" s="75">
        <f t="shared" ref="U155:U164" si="34">(T155/11)*100</f>
        <v>0</v>
      </c>
      <c r="V155" s="62">
        <v>0</v>
      </c>
      <c r="W155" s="75">
        <f t="shared" ref="W155:W164" si="35">(V155/15)*100</f>
        <v>0</v>
      </c>
      <c r="X155" s="62">
        <v>0</v>
      </c>
      <c r="Y155" s="75">
        <f t="shared" ref="Y155:Y164" si="36">(X155/56)*100</f>
        <v>0</v>
      </c>
      <c r="Z155" s="2">
        <v>4</v>
      </c>
      <c r="AA155" s="17">
        <f t="shared" ref="AA155:AA164" si="37">(Z155/59)*100</f>
        <v>6.7796610169491522</v>
      </c>
      <c r="AB155" s="16">
        <f t="shared" ref="AB155:AB165" si="38">(B155+D155+F155+H155+J155+L155+N155++P155+R155+T155+V155+X155+Z155)</f>
        <v>7</v>
      </c>
      <c r="AC155" s="17">
        <f t="shared" ref="AC155:AC164" si="39">(AB155/1164)*100</f>
        <v>0.60137457044673548</v>
      </c>
    </row>
    <row r="156" spans="1:29" x14ac:dyDescent="0.25">
      <c r="A156" s="62" t="s">
        <v>14</v>
      </c>
      <c r="B156" s="62">
        <v>1</v>
      </c>
      <c r="C156" s="75">
        <f t="shared" si="26"/>
        <v>0.20408163265306123</v>
      </c>
      <c r="D156" s="77">
        <v>0</v>
      </c>
      <c r="E156" s="75">
        <v>0</v>
      </c>
      <c r="F156" s="69">
        <v>2</v>
      </c>
      <c r="G156" s="71">
        <f t="shared" si="27"/>
        <v>6.8965517241379306</v>
      </c>
      <c r="H156" s="70">
        <v>2</v>
      </c>
      <c r="I156" s="71">
        <f t="shared" si="28"/>
        <v>14.285714285714285</v>
      </c>
      <c r="J156" s="69">
        <v>0</v>
      </c>
      <c r="K156" s="71">
        <f t="shared" si="29"/>
        <v>0</v>
      </c>
      <c r="L156" s="70">
        <v>0</v>
      </c>
      <c r="M156" s="71">
        <f t="shared" si="30"/>
        <v>0</v>
      </c>
      <c r="N156" s="69">
        <v>1</v>
      </c>
      <c r="O156" s="71">
        <f t="shared" si="31"/>
        <v>0.90909090909090906</v>
      </c>
      <c r="P156" s="70">
        <v>0</v>
      </c>
      <c r="Q156" s="71">
        <f t="shared" si="32"/>
        <v>0</v>
      </c>
      <c r="R156" s="62">
        <v>2</v>
      </c>
      <c r="S156" s="75">
        <f t="shared" si="33"/>
        <v>0.88495575221238942</v>
      </c>
      <c r="T156" s="62">
        <v>0</v>
      </c>
      <c r="U156" s="75">
        <f t="shared" si="34"/>
        <v>0</v>
      </c>
      <c r="V156" s="62">
        <v>0</v>
      </c>
      <c r="W156" s="75">
        <f t="shared" si="35"/>
        <v>0</v>
      </c>
      <c r="X156" s="62">
        <v>0</v>
      </c>
      <c r="Y156" s="75">
        <f t="shared" si="36"/>
        <v>0</v>
      </c>
      <c r="Z156" s="2">
        <v>0</v>
      </c>
      <c r="AA156" s="17">
        <f t="shared" si="37"/>
        <v>0</v>
      </c>
      <c r="AB156" s="16">
        <f t="shared" si="38"/>
        <v>8</v>
      </c>
      <c r="AC156" s="17">
        <f t="shared" si="39"/>
        <v>0.6872852233676976</v>
      </c>
    </row>
    <row r="157" spans="1:29" x14ac:dyDescent="0.25">
      <c r="A157" s="62" t="s">
        <v>15</v>
      </c>
      <c r="B157" s="62">
        <v>2</v>
      </c>
      <c r="C157" s="75">
        <f t="shared" si="26"/>
        <v>0.40816326530612246</v>
      </c>
      <c r="D157" s="77">
        <v>0</v>
      </c>
      <c r="E157" s="75">
        <v>0</v>
      </c>
      <c r="F157" s="69">
        <v>1</v>
      </c>
      <c r="G157" s="71">
        <f t="shared" si="27"/>
        <v>3.4482758620689653</v>
      </c>
      <c r="H157" s="70">
        <v>0</v>
      </c>
      <c r="I157" s="71">
        <f t="shared" si="28"/>
        <v>0</v>
      </c>
      <c r="J157" s="69">
        <v>0</v>
      </c>
      <c r="K157" s="71">
        <f t="shared" si="29"/>
        <v>0</v>
      </c>
      <c r="L157" s="70">
        <v>0</v>
      </c>
      <c r="M157" s="71">
        <f t="shared" si="30"/>
        <v>0</v>
      </c>
      <c r="N157" s="69">
        <v>0</v>
      </c>
      <c r="O157" s="71">
        <f t="shared" si="31"/>
        <v>0</v>
      </c>
      <c r="P157" s="70">
        <v>1</v>
      </c>
      <c r="Q157" s="71">
        <f t="shared" si="32"/>
        <v>3.7037037037037033</v>
      </c>
      <c r="R157" s="62">
        <v>2</v>
      </c>
      <c r="S157" s="75">
        <f t="shared" si="33"/>
        <v>0.88495575221238942</v>
      </c>
      <c r="T157" s="62">
        <v>0</v>
      </c>
      <c r="U157" s="75">
        <f t="shared" si="34"/>
        <v>0</v>
      </c>
      <c r="V157" s="62">
        <v>0</v>
      </c>
      <c r="W157" s="75">
        <f t="shared" si="35"/>
        <v>0</v>
      </c>
      <c r="X157" s="62">
        <v>0</v>
      </c>
      <c r="Y157" s="75">
        <f t="shared" si="36"/>
        <v>0</v>
      </c>
      <c r="Z157" s="2">
        <v>0</v>
      </c>
      <c r="AA157" s="17">
        <f t="shared" si="37"/>
        <v>0</v>
      </c>
      <c r="AB157" s="16">
        <f t="shared" si="38"/>
        <v>6</v>
      </c>
      <c r="AC157" s="17">
        <f t="shared" si="39"/>
        <v>0.51546391752577314</v>
      </c>
    </row>
    <row r="158" spans="1:29" x14ac:dyDescent="0.25">
      <c r="A158" s="62" t="s">
        <v>16</v>
      </c>
      <c r="B158" s="62">
        <v>5</v>
      </c>
      <c r="C158" s="75">
        <f t="shared" si="26"/>
        <v>1.0204081632653061</v>
      </c>
      <c r="D158" s="77">
        <v>1</v>
      </c>
      <c r="E158" s="75">
        <f>(D158/43)*100</f>
        <v>2.3255813953488373</v>
      </c>
      <c r="F158" s="69">
        <v>4</v>
      </c>
      <c r="G158" s="71">
        <f t="shared" si="27"/>
        <v>13.793103448275861</v>
      </c>
      <c r="H158" s="70">
        <v>0</v>
      </c>
      <c r="I158" s="71">
        <f t="shared" si="28"/>
        <v>0</v>
      </c>
      <c r="J158" s="69">
        <v>0</v>
      </c>
      <c r="K158" s="71">
        <f t="shared" si="29"/>
        <v>0</v>
      </c>
      <c r="L158" s="70">
        <v>1</v>
      </c>
      <c r="M158" s="71">
        <f t="shared" si="30"/>
        <v>2.1739130434782608</v>
      </c>
      <c r="N158" s="69">
        <v>5</v>
      </c>
      <c r="O158" s="71">
        <f t="shared" si="31"/>
        <v>4.5454545454545459</v>
      </c>
      <c r="P158" s="70">
        <v>5</v>
      </c>
      <c r="Q158" s="71">
        <f t="shared" si="32"/>
        <v>18.518518518518519</v>
      </c>
      <c r="R158" s="62">
        <v>9</v>
      </c>
      <c r="S158" s="75">
        <f t="shared" si="33"/>
        <v>3.9823008849557522</v>
      </c>
      <c r="T158" s="62">
        <v>1</v>
      </c>
      <c r="U158" s="75">
        <f t="shared" si="34"/>
        <v>9.0909090909090917</v>
      </c>
      <c r="V158" s="62">
        <v>0</v>
      </c>
      <c r="W158" s="75">
        <f t="shared" si="35"/>
        <v>0</v>
      </c>
      <c r="X158" s="62">
        <v>1</v>
      </c>
      <c r="Y158" s="75">
        <f t="shared" si="36"/>
        <v>1.7857142857142856</v>
      </c>
      <c r="Z158" s="2">
        <v>2</v>
      </c>
      <c r="AA158" s="17">
        <f t="shared" si="37"/>
        <v>3.3898305084745761</v>
      </c>
      <c r="AB158" s="16">
        <f t="shared" si="38"/>
        <v>34</v>
      </c>
      <c r="AC158" s="17">
        <f t="shared" si="39"/>
        <v>2.9209621993127146</v>
      </c>
    </row>
    <row r="159" spans="1:29" x14ac:dyDescent="0.25">
      <c r="A159" s="62" t="s">
        <v>17</v>
      </c>
      <c r="B159" s="62">
        <v>6</v>
      </c>
      <c r="C159" s="75">
        <f t="shared" si="26"/>
        <v>1.2244897959183674</v>
      </c>
      <c r="D159" s="77">
        <v>1</v>
      </c>
      <c r="E159" s="75">
        <f t="shared" ref="E159:E165" si="40">(D159/43)*100</f>
        <v>2.3255813953488373</v>
      </c>
      <c r="F159" s="69">
        <v>2</v>
      </c>
      <c r="G159" s="71">
        <f t="shared" si="27"/>
        <v>6.8965517241379306</v>
      </c>
      <c r="H159" s="70">
        <v>0</v>
      </c>
      <c r="I159" s="71">
        <f t="shared" si="28"/>
        <v>0</v>
      </c>
      <c r="J159" s="69">
        <v>0</v>
      </c>
      <c r="K159" s="71">
        <f t="shared" si="29"/>
        <v>0</v>
      </c>
      <c r="L159" s="70">
        <v>1</v>
      </c>
      <c r="M159" s="71">
        <f t="shared" si="30"/>
        <v>2.1739130434782608</v>
      </c>
      <c r="N159" s="69">
        <v>22</v>
      </c>
      <c r="O159" s="71">
        <f t="shared" si="31"/>
        <v>20</v>
      </c>
      <c r="P159" s="70">
        <v>1</v>
      </c>
      <c r="Q159" s="71">
        <f t="shared" si="32"/>
        <v>3.7037037037037033</v>
      </c>
      <c r="R159" s="62">
        <v>20</v>
      </c>
      <c r="S159" s="75">
        <f t="shared" si="33"/>
        <v>8.8495575221238933</v>
      </c>
      <c r="T159" s="62">
        <v>2</v>
      </c>
      <c r="U159" s="75">
        <f t="shared" si="34"/>
        <v>18.181818181818183</v>
      </c>
      <c r="V159" s="62">
        <v>2</v>
      </c>
      <c r="W159" s="75">
        <f t="shared" si="35"/>
        <v>13.333333333333334</v>
      </c>
      <c r="X159" s="62">
        <v>0</v>
      </c>
      <c r="Y159" s="75">
        <f t="shared" si="36"/>
        <v>0</v>
      </c>
      <c r="Z159" s="2">
        <v>0</v>
      </c>
      <c r="AA159" s="17">
        <f t="shared" si="37"/>
        <v>0</v>
      </c>
      <c r="AB159" s="16">
        <f t="shared" si="38"/>
        <v>57</v>
      </c>
      <c r="AC159" s="17">
        <f t="shared" si="39"/>
        <v>4.8969072164948457</v>
      </c>
    </row>
    <row r="160" spans="1:29" x14ac:dyDescent="0.25">
      <c r="A160" s="62" t="s">
        <v>18</v>
      </c>
      <c r="B160" s="62">
        <v>7</v>
      </c>
      <c r="C160" s="75">
        <f t="shared" si="26"/>
        <v>1.4285714285714286</v>
      </c>
      <c r="D160" s="77">
        <v>2</v>
      </c>
      <c r="E160" s="75">
        <f t="shared" si="40"/>
        <v>4.6511627906976747</v>
      </c>
      <c r="F160" s="69">
        <v>3</v>
      </c>
      <c r="G160" s="71">
        <f t="shared" si="27"/>
        <v>10.344827586206897</v>
      </c>
      <c r="H160" s="70">
        <v>0</v>
      </c>
      <c r="I160" s="71">
        <f t="shared" si="28"/>
        <v>0</v>
      </c>
      <c r="J160" s="69">
        <v>0</v>
      </c>
      <c r="K160" s="71">
        <f t="shared" si="29"/>
        <v>0</v>
      </c>
      <c r="L160" s="70">
        <v>1</v>
      </c>
      <c r="M160" s="71">
        <f t="shared" si="30"/>
        <v>2.1739130434782608</v>
      </c>
      <c r="N160" s="69">
        <v>29</v>
      </c>
      <c r="O160" s="71">
        <f t="shared" si="31"/>
        <v>26.36363636363636</v>
      </c>
      <c r="P160" s="70">
        <v>2</v>
      </c>
      <c r="Q160" s="71">
        <f t="shared" si="32"/>
        <v>7.4074074074074066</v>
      </c>
      <c r="R160" s="62">
        <v>14</v>
      </c>
      <c r="S160" s="75">
        <f t="shared" si="33"/>
        <v>6.1946902654867255</v>
      </c>
      <c r="T160" s="62">
        <v>0</v>
      </c>
      <c r="U160" s="75">
        <f t="shared" si="34"/>
        <v>0</v>
      </c>
      <c r="V160" s="62">
        <v>4</v>
      </c>
      <c r="W160" s="75">
        <f t="shared" si="35"/>
        <v>26.666666666666668</v>
      </c>
      <c r="X160" s="62">
        <v>0</v>
      </c>
      <c r="Y160" s="75">
        <f t="shared" si="36"/>
        <v>0</v>
      </c>
      <c r="Z160" s="2">
        <v>1</v>
      </c>
      <c r="AA160" s="17">
        <f t="shared" si="37"/>
        <v>1.6949152542372881</v>
      </c>
      <c r="AB160" s="16">
        <f t="shared" si="38"/>
        <v>63</v>
      </c>
      <c r="AC160" s="17">
        <f t="shared" si="39"/>
        <v>5.4123711340206189</v>
      </c>
    </row>
    <row r="161" spans="1:29" x14ac:dyDescent="0.25">
      <c r="A161" s="62" t="s">
        <v>19</v>
      </c>
      <c r="B161" s="62">
        <v>134</v>
      </c>
      <c r="C161" s="75">
        <f t="shared" si="26"/>
        <v>27.346938775510203</v>
      </c>
      <c r="D161" s="77">
        <v>19</v>
      </c>
      <c r="E161" s="75">
        <f t="shared" si="40"/>
        <v>44.186046511627907</v>
      </c>
      <c r="F161" s="69">
        <v>8</v>
      </c>
      <c r="G161" s="71">
        <f t="shared" si="27"/>
        <v>27.586206896551722</v>
      </c>
      <c r="H161" s="70">
        <v>9</v>
      </c>
      <c r="I161" s="71">
        <f t="shared" si="28"/>
        <v>64.285714285714292</v>
      </c>
      <c r="J161" s="69">
        <v>6</v>
      </c>
      <c r="K161" s="71">
        <f t="shared" si="29"/>
        <v>15.789473684210526</v>
      </c>
      <c r="L161" s="70">
        <v>8</v>
      </c>
      <c r="M161" s="71">
        <f t="shared" si="30"/>
        <v>17.391304347826086</v>
      </c>
      <c r="N161" s="69">
        <v>29</v>
      </c>
      <c r="O161" s="71">
        <f t="shared" si="31"/>
        <v>26.36363636363636</v>
      </c>
      <c r="P161" s="70">
        <v>5</v>
      </c>
      <c r="Q161" s="71">
        <f t="shared" si="32"/>
        <v>18.518518518518519</v>
      </c>
      <c r="R161" s="62">
        <v>50</v>
      </c>
      <c r="S161" s="75">
        <f t="shared" si="33"/>
        <v>22.123893805309734</v>
      </c>
      <c r="T161" s="62">
        <v>7</v>
      </c>
      <c r="U161" s="75">
        <f t="shared" si="34"/>
        <v>63.636363636363633</v>
      </c>
      <c r="V161" s="62">
        <v>3</v>
      </c>
      <c r="W161" s="75">
        <f t="shared" si="35"/>
        <v>20</v>
      </c>
      <c r="X161" s="62">
        <v>11</v>
      </c>
      <c r="Y161" s="75">
        <f t="shared" si="36"/>
        <v>19.642857142857142</v>
      </c>
      <c r="Z161" s="2">
        <v>6</v>
      </c>
      <c r="AA161" s="17">
        <f t="shared" si="37"/>
        <v>10.16949152542373</v>
      </c>
      <c r="AB161" s="16">
        <f t="shared" si="38"/>
        <v>295</v>
      </c>
      <c r="AC161" s="17">
        <f t="shared" si="39"/>
        <v>25.343642611683848</v>
      </c>
    </row>
    <row r="162" spans="1:29" x14ac:dyDescent="0.25">
      <c r="A162" s="62" t="s">
        <v>20</v>
      </c>
      <c r="B162" s="62">
        <v>110</v>
      </c>
      <c r="C162" s="75">
        <f t="shared" si="26"/>
        <v>22.448979591836736</v>
      </c>
      <c r="D162" s="77">
        <v>8</v>
      </c>
      <c r="E162" s="75">
        <f t="shared" si="40"/>
        <v>18.604651162790699</v>
      </c>
      <c r="F162" s="69">
        <v>4</v>
      </c>
      <c r="G162" s="71">
        <f t="shared" si="27"/>
        <v>13.793103448275861</v>
      </c>
      <c r="H162" s="70">
        <v>2</v>
      </c>
      <c r="I162" s="71">
        <f t="shared" si="28"/>
        <v>14.285714285714285</v>
      </c>
      <c r="J162" s="69">
        <v>10</v>
      </c>
      <c r="K162" s="71">
        <f t="shared" si="29"/>
        <v>26.315789473684209</v>
      </c>
      <c r="L162" s="70">
        <v>11</v>
      </c>
      <c r="M162" s="71">
        <f t="shared" si="30"/>
        <v>23.913043478260871</v>
      </c>
      <c r="N162" s="69">
        <v>10</v>
      </c>
      <c r="O162" s="71">
        <f t="shared" si="31"/>
        <v>9.0909090909090917</v>
      </c>
      <c r="P162" s="70">
        <v>2</v>
      </c>
      <c r="Q162" s="71">
        <f t="shared" si="32"/>
        <v>7.4074074074074066</v>
      </c>
      <c r="R162" s="62">
        <v>35</v>
      </c>
      <c r="S162" s="75">
        <f t="shared" si="33"/>
        <v>15.486725663716813</v>
      </c>
      <c r="T162" s="62">
        <v>1</v>
      </c>
      <c r="U162" s="75">
        <f t="shared" si="34"/>
        <v>9.0909090909090917</v>
      </c>
      <c r="V162" s="62">
        <v>2</v>
      </c>
      <c r="W162" s="75">
        <f t="shared" si="35"/>
        <v>13.333333333333334</v>
      </c>
      <c r="X162" s="62">
        <v>2</v>
      </c>
      <c r="Y162" s="75">
        <f t="shared" si="36"/>
        <v>3.5714285714285712</v>
      </c>
      <c r="Z162" s="2">
        <v>8</v>
      </c>
      <c r="AA162" s="17">
        <f t="shared" si="37"/>
        <v>13.559322033898304</v>
      </c>
      <c r="AB162" s="16">
        <f t="shared" si="38"/>
        <v>205</v>
      </c>
      <c r="AC162" s="17">
        <f t="shared" si="39"/>
        <v>17.611683848797252</v>
      </c>
    </row>
    <row r="163" spans="1:29" x14ac:dyDescent="0.25">
      <c r="A163" s="62" t="s">
        <v>21</v>
      </c>
      <c r="B163" s="62">
        <v>135</v>
      </c>
      <c r="C163" s="75">
        <f t="shared" si="26"/>
        <v>27.551020408163261</v>
      </c>
      <c r="D163" s="77">
        <v>8</v>
      </c>
      <c r="E163" s="75">
        <f t="shared" si="40"/>
        <v>18.604651162790699</v>
      </c>
      <c r="F163" s="69">
        <v>3</v>
      </c>
      <c r="G163" s="71">
        <f t="shared" si="27"/>
        <v>10.344827586206897</v>
      </c>
      <c r="H163" s="70">
        <v>1</v>
      </c>
      <c r="I163" s="71">
        <f t="shared" si="28"/>
        <v>7.1428571428571423</v>
      </c>
      <c r="J163" s="69">
        <v>14</v>
      </c>
      <c r="K163" s="71">
        <f t="shared" si="29"/>
        <v>36.84210526315789</v>
      </c>
      <c r="L163" s="70">
        <v>9</v>
      </c>
      <c r="M163" s="71">
        <f t="shared" si="30"/>
        <v>19.565217391304348</v>
      </c>
      <c r="N163" s="69">
        <v>11</v>
      </c>
      <c r="O163" s="71">
        <f t="shared" si="31"/>
        <v>10</v>
      </c>
      <c r="P163" s="70">
        <v>3</v>
      </c>
      <c r="Q163" s="71">
        <f t="shared" si="32"/>
        <v>11.111111111111111</v>
      </c>
      <c r="R163" s="62">
        <v>48</v>
      </c>
      <c r="S163" s="75">
        <f t="shared" si="33"/>
        <v>21.238938053097346</v>
      </c>
      <c r="T163" s="62">
        <v>0</v>
      </c>
      <c r="U163" s="75">
        <f t="shared" si="34"/>
        <v>0</v>
      </c>
      <c r="V163" s="62">
        <v>4</v>
      </c>
      <c r="W163" s="75">
        <f t="shared" si="35"/>
        <v>26.666666666666668</v>
      </c>
      <c r="X163" s="62">
        <v>19</v>
      </c>
      <c r="Y163" s="75">
        <f t="shared" si="36"/>
        <v>33.928571428571431</v>
      </c>
      <c r="Z163" s="2">
        <v>13</v>
      </c>
      <c r="AA163" s="17">
        <f t="shared" si="37"/>
        <v>22.033898305084744</v>
      </c>
      <c r="AB163" s="16">
        <f t="shared" si="38"/>
        <v>268</v>
      </c>
      <c r="AC163" s="17">
        <f t="shared" si="39"/>
        <v>23.024054982817869</v>
      </c>
    </row>
    <row r="164" spans="1:29" x14ac:dyDescent="0.25">
      <c r="A164" s="62" t="s">
        <v>22</v>
      </c>
      <c r="B164" s="62">
        <v>86</v>
      </c>
      <c r="C164" s="75">
        <f t="shared" si="26"/>
        <v>17.551020408163264</v>
      </c>
      <c r="D164" s="77">
        <v>4</v>
      </c>
      <c r="E164" s="75">
        <f t="shared" si="40"/>
        <v>9.3023255813953494</v>
      </c>
      <c r="F164" s="69">
        <v>1</v>
      </c>
      <c r="G164" s="71">
        <f t="shared" si="27"/>
        <v>3.4482758620689653</v>
      </c>
      <c r="H164" s="70">
        <v>0</v>
      </c>
      <c r="I164" s="71">
        <f t="shared" si="28"/>
        <v>0</v>
      </c>
      <c r="J164" s="69">
        <v>8</v>
      </c>
      <c r="K164" s="71">
        <f t="shared" si="29"/>
        <v>21.052631578947366</v>
      </c>
      <c r="L164" s="70">
        <v>15</v>
      </c>
      <c r="M164" s="71">
        <f t="shared" si="30"/>
        <v>32.608695652173914</v>
      </c>
      <c r="N164" s="69">
        <v>3</v>
      </c>
      <c r="O164" s="71">
        <f t="shared" si="31"/>
        <v>2.7272727272727271</v>
      </c>
      <c r="P164" s="70">
        <v>7</v>
      </c>
      <c r="Q164" s="71">
        <f t="shared" si="32"/>
        <v>25.925925925925924</v>
      </c>
      <c r="R164" s="62">
        <v>45</v>
      </c>
      <c r="S164" s="75">
        <f t="shared" si="33"/>
        <v>19.911504424778762</v>
      </c>
      <c r="T164" s="62">
        <v>0</v>
      </c>
      <c r="U164" s="75">
        <f t="shared" si="34"/>
        <v>0</v>
      </c>
      <c r="V164" s="62">
        <v>0</v>
      </c>
      <c r="W164" s="75">
        <f t="shared" si="35"/>
        <v>0</v>
      </c>
      <c r="X164" s="62">
        <v>23</v>
      </c>
      <c r="Y164" s="75">
        <f t="shared" si="36"/>
        <v>41.071428571428569</v>
      </c>
      <c r="Z164" s="2">
        <v>22</v>
      </c>
      <c r="AA164" s="17">
        <f t="shared" si="37"/>
        <v>37.288135593220339</v>
      </c>
      <c r="AB164" s="16">
        <f t="shared" si="38"/>
        <v>214</v>
      </c>
      <c r="AC164" s="17">
        <f t="shared" si="39"/>
        <v>18.384879725085913</v>
      </c>
    </row>
    <row r="165" spans="1:29" x14ac:dyDescent="0.25">
      <c r="A165" s="62" t="s">
        <v>10</v>
      </c>
      <c r="B165" s="62">
        <f>SUM(B154:B164)</f>
        <v>490</v>
      </c>
      <c r="C165" s="62">
        <f>SUM(C154:C164)</f>
        <v>99.999999999999986</v>
      </c>
      <c r="D165" s="77">
        <f>SUM(D154:D164)</f>
        <v>43</v>
      </c>
      <c r="E165" s="77">
        <f t="shared" si="40"/>
        <v>100</v>
      </c>
      <c r="F165" s="77">
        <f t="shared" ref="F165:AA165" si="41">SUM(F154:F164)</f>
        <v>29</v>
      </c>
      <c r="G165" s="77">
        <f t="shared" si="41"/>
        <v>99.999999999999986</v>
      </c>
      <c r="H165" s="70">
        <f t="shared" si="41"/>
        <v>14</v>
      </c>
      <c r="I165" s="70">
        <f t="shared" si="41"/>
        <v>100</v>
      </c>
      <c r="J165" s="69">
        <f t="shared" si="41"/>
        <v>38</v>
      </c>
      <c r="K165" s="69">
        <f t="shared" si="41"/>
        <v>100</v>
      </c>
      <c r="L165" s="70">
        <f t="shared" si="41"/>
        <v>46</v>
      </c>
      <c r="M165" s="70">
        <f t="shared" si="41"/>
        <v>100</v>
      </c>
      <c r="N165" s="69">
        <f t="shared" si="41"/>
        <v>110</v>
      </c>
      <c r="O165" s="69">
        <f t="shared" si="41"/>
        <v>100</v>
      </c>
      <c r="P165" s="70">
        <f t="shared" si="41"/>
        <v>27</v>
      </c>
      <c r="Q165" s="70">
        <f t="shared" si="41"/>
        <v>99.999999999999986</v>
      </c>
      <c r="R165" s="62">
        <f t="shared" si="41"/>
        <v>226</v>
      </c>
      <c r="S165" s="62">
        <f t="shared" si="41"/>
        <v>100</v>
      </c>
      <c r="T165" s="62">
        <f t="shared" si="41"/>
        <v>11</v>
      </c>
      <c r="U165" s="62">
        <f t="shared" si="41"/>
        <v>100</v>
      </c>
      <c r="V165" s="62">
        <f t="shared" si="41"/>
        <v>15</v>
      </c>
      <c r="W165" s="62">
        <f t="shared" si="41"/>
        <v>100</v>
      </c>
      <c r="X165" s="62">
        <f t="shared" si="41"/>
        <v>56</v>
      </c>
      <c r="Y165" s="62">
        <f t="shared" si="41"/>
        <v>100</v>
      </c>
      <c r="Z165" s="2">
        <f t="shared" si="41"/>
        <v>59</v>
      </c>
      <c r="AA165" s="2">
        <f t="shared" si="41"/>
        <v>100</v>
      </c>
      <c r="AB165" s="16">
        <f t="shared" si="38"/>
        <v>1164</v>
      </c>
      <c r="AC165" s="28">
        <f>SUM(AC154:AC164)</f>
        <v>100</v>
      </c>
    </row>
    <row r="166" spans="1:29" x14ac:dyDescent="0.25">
      <c r="A166" s="65"/>
      <c r="B166" s="36"/>
      <c r="C166" s="37"/>
      <c r="D166" s="88"/>
      <c r="E166" s="89"/>
      <c r="F166" s="88"/>
      <c r="G166" s="89"/>
      <c r="H166" s="88"/>
      <c r="I166" s="89"/>
    </row>
    <row r="167" spans="1:29" x14ac:dyDescent="0.25">
      <c r="A167" s="4" t="s">
        <v>263</v>
      </c>
      <c r="B167" s="36"/>
      <c r="C167" s="37"/>
      <c r="D167" s="88"/>
      <c r="E167" s="89"/>
      <c r="F167" s="88"/>
      <c r="G167" s="89"/>
      <c r="H167" s="88"/>
      <c r="I167" s="89"/>
    </row>
    <row r="168" spans="1:29" x14ac:dyDescent="0.25">
      <c r="A168" s="4"/>
      <c r="B168" s="36"/>
      <c r="C168" s="37"/>
      <c r="D168" s="88"/>
      <c r="E168" s="89"/>
      <c r="F168" s="88"/>
      <c r="G168" s="89"/>
      <c r="H168" s="88"/>
      <c r="I168" s="89"/>
    </row>
    <row r="169" spans="1:29" x14ac:dyDescent="0.25">
      <c r="A169" s="64"/>
      <c r="B169" s="62" t="s">
        <v>275</v>
      </c>
      <c r="C169" s="37"/>
      <c r="D169" s="88"/>
      <c r="E169" s="89"/>
      <c r="F169" s="88"/>
      <c r="G169" s="89"/>
      <c r="H169" s="88"/>
      <c r="I169" s="89"/>
    </row>
    <row r="170" spans="1:29" x14ac:dyDescent="0.25">
      <c r="A170" s="64" t="s">
        <v>280</v>
      </c>
      <c r="B170" s="62">
        <v>2601</v>
      </c>
      <c r="C170" s="37"/>
      <c r="D170" s="88"/>
      <c r="E170" s="89"/>
      <c r="F170" s="88"/>
      <c r="G170" s="89"/>
      <c r="H170" s="88"/>
      <c r="I170" s="89"/>
    </row>
    <row r="171" spans="1:29" x14ac:dyDescent="0.25">
      <c r="A171" s="64" t="s">
        <v>272</v>
      </c>
      <c r="B171" s="62">
        <v>2645</v>
      </c>
      <c r="C171" s="37"/>
      <c r="D171" s="88"/>
      <c r="E171" s="89"/>
      <c r="F171" s="88"/>
      <c r="G171" s="89"/>
      <c r="H171" s="88"/>
      <c r="I171" s="89"/>
    </row>
    <row r="172" spans="1:29" x14ac:dyDescent="0.25">
      <c r="A172" s="64" t="s">
        <v>273</v>
      </c>
      <c r="B172" s="62">
        <v>2251</v>
      </c>
      <c r="C172" s="37"/>
      <c r="D172" s="88"/>
      <c r="E172" s="89"/>
      <c r="F172" s="88"/>
      <c r="G172" s="89"/>
      <c r="H172" s="88"/>
      <c r="I172" s="89"/>
    </row>
    <row r="173" spans="1:29" x14ac:dyDescent="0.25">
      <c r="A173" s="64" t="s">
        <v>274</v>
      </c>
      <c r="B173" s="62">
        <v>2456</v>
      </c>
      <c r="C173" s="37"/>
      <c r="D173" s="88"/>
      <c r="E173" s="89"/>
      <c r="F173" s="88"/>
      <c r="G173" s="89"/>
      <c r="H173" s="88"/>
      <c r="I173" s="89"/>
    </row>
    <row r="174" spans="1:29" x14ac:dyDescent="0.25">
      <c r="A174" s="65"/>
      <c r="B174" s="36"/>
      <c r="C174" s="37"/>
      <c r="D174" s="36"/>
      <c r="E174" s="37"/>
      <c r="F174" s="36"/>
      <c r="G174" s="37"/>
      <c r="H174" s="36"/>
      <c r="I174" s="37"/>
    </row>
    <row r="175" spans="1:29" x14ac:dyDescent="0.25">
      <c r="A175" s="42" t="s">
        <v>282</v>
      </c>
      <c r="B175" s="93"/>
      <c r="C175" s="94"/>
      <c r="D175" s="93"/>
      <c r="E175" s="37"/>
      <c r="F175" s="36"/>
      <c r="G175" s="37"/>
      <c r="H175" s="36"/>
      <c r="I175" s="37"/>
    </row>
    <row r="176" spans="1:29" x14ac:dyDescent="0.25">
      <c r="A176" s="65"/>
      <c r="B176" s="36"/>
      <c r="C176" s="37"/>
      <c r="D176" s="36"/>
      <c r="E176" s="37"/>
      <c r="F176" s="36"/>
      <c r="G176" s="37"/>
      <c r="H176" s="36"/>
      <c r="I176" s="37"/>
    </row>
    <row r="177" spans="1:9" x14ac:dyDescent="0.25">
      <c r="A177" s="4" t="s">
        <v>28</v>
      </c>
    </row>
    <row r="179" spans="1:9" x14ac:dyDescent="0.25">
      <c r="A179" s="62"/>
      <c r="B179" s="62" t="s">
        <v>7</v>
      </c>
      <c r="C179" s="63"/>
      <c r="D179" s="62" t="s">
        <v>8</v>
      </c>
      <c r="E179" s="63"/>
      <c r="F179" s="62" t="s">
        <v>9</v>
      </c>
      <c r="G179" s="63"/>
      <c r="H179" s="62" t="s">
        <v>10</v>
      </c>
      <c r="I179" s="63"/>
    </row>
    <row r="180" spans="1:9" x14ac:dyDescent="0.25">
      <c r="A180" s="62"/>
      <c r="B180" s="62" t="s">
        <v>5</v>
      </c>
      <c r="C180" s="63" t="s">
        <v>6</v>
      </c>
      <c r="D180" s="62" t="s">
        <v>5</v>
      </c>
      <c r="E180" s="63" t="s">
        <v>6</v>
      </c>
      <c r="F180" s="62" t="s">
        <v>5</v>
      </c>
      <c r="G180" s="63" t="s">
        <v>6</v>
      </c>
      <c r="H180" s="62" t="s">
        <v>5</v>
      </c>
      <c r="I180" s="63" t="s">
        <v>6</v>
      </c>
    </row>
    <row r="181" spans="1:9" ht="14.25" customHeight="1" x14ac:dyDescent="0.25">
      <c r="A181" s="95" t="s">
        <v>29</v>
      </c>
      <c r="B181" s="62">
        <v>336</v>
      </c>
      <c r="C181" s="63">
        <f>(B181/B184)*100</f>
        <v>96.275071633237815</v>
      </c>
      <c r="D181" s="62">
        <v>269</v>
      </c>
      <c r="E181" s="63">
        <f>(D181/D184)*100</f>
        <v>97.818181818181813</v>
      </c>
      <c r="F181" s="62">
        <v>277</v>
      </c>
      <c r="G181" s="63">
        <f>(F181/F184)*100</f>
        <v>95.189003436426106</v>
      </c>
      <c r="H181" s="62">
        <f t="shared" ref="H181:H184" si="42">(B181+D181+F181)</f>
        <v>882</v>
      </c>
      <c r="I181" s="63">
        <f>(H181/H184)*100</f>
        <v>96.393442622950815</v>
      </c>
    </row>
    <row r="182" spans="1:9" ht="30" customHeight="1" x14ac:dyDescent="0.25">
      <c r="A182" s="95" t="s">
        <v>311</v>
      </c>
      <c r="B182" s="62">
        <v>3</v>
      </c>
      <c r="C182" s="63">
        <f>(B182/B184)*100</f>
        <v>0.8595988538681949</v>
      </c>
      <c r="D182" s="62">
        <v>1</v>
      </c>
      <c r="E182" s="63">
        <f>(D182/D184)*100</f>
        <v>0.36363636363636365</v>
      </c>
      <c r="F182" s="62">
        <v>4</v>
      </c>
      <c r="G182" s="63">
        <f>(F182/F184)*100</f>
        <v>1.3745704467353952</v>
      </c>
      <c r="H182" s="62">
        <f t="shared" si="42"/>
        <v>8</v>
      </c>
      <c r="I182" s="63">
        <f>(H182/H184)*100</f>
        <v>0.87431693989071035</v>
      </c>
    </row>
    <row r="183" spans="1:9" ht="27.75" customHeight="1" x14ac:dyDescent="0.25">
      <c r="A183" s="95" t="s">
        <v>312</v>
      </c>
      <c r="B183" s="62">
        <v>10</v>
      </c>
      <c r="C183" s="63">
        <f>(B183/B184)*100</f>
        <v>2.8653295128939829</v>
      </c>
      <c r="D183" s="62">
        <v>5</v>
      </c>
      <c r="E183" s="63">
        <f>(D183/D184)*100</f>
        <v>1.8181818181818181</v>
      </c>
      <c r="F183" s="62">
        <v>10</v>
      </c>
      <c r="G183" s="63">
        <f>(F183/F184)*100</f>
        <v>3.4364261168384882</v>
      </c>
      <c r="H183" s="62">
        <f t="shared" si="42"/>
        <v>25</v>
      </c>
      <c r="I183" s="63">
        <f>(H183/H184)*100</f>
        <v>2.7322404371584699</v>
      </c>
    </row>
    <row r="184" spans="1:9" x14ac:dyDescent="0.25">
      <c r="A184" s="95" t="s">
        <v>10</v>
      </c>
      <c r="B184" s="62">
        <f t="shared" ref="B184:G184" si="43">SUM(B181:B183)</f>
        <v>349</v>
      </c>
      <c r="C184" s="63">
        <f t="shared" si="43"/>
        <v>99.999999999999986</v>
      </c>
      <c r="D184" s="62">
        <f t="shared" si="43"/>
        <v>275</v>
      </c>
      <c r="E184" s="63">
        <f t="shared" si="43"/>
        <v>99.999999999999986</v>
      </c>
      <c r="F184" s="62">
        <f t="shared" si="43"/>
        <v>291</v>
      </c>
      <c r="G184" s="63">
        <f t="shared" si="43"/>
        <v>99.999999999999986</v>
      </c>
      <c r="H184" s="62">
        <f t="shared" si="42"/>
        <v>915</v>
      </c>
      <c r="I184" s="63">
        <f>SUM(I181:I183)</f>
        <v>99.999999999999986</v>
      </c>
    </row>
    <row r="185" spans="1:9" x14ac:dyDescent="0.25">
      <c r="A185" s="96"/>
      <c r="B185" s="36"/>
      <c r="C185" s="37"/>
      <c r="D185" s="36"/>
      <c r="E185" s="37"/>
      <c r="F185" s="36"/>
      <c r="G185" s="37"/>
      <c r="H185" s="36"/>
      <c r="I185" s="37"/>
    </row>
    <row r="186" spans="1:9" x14ac:dyDescent="0.25">
      <c r="A186" s="96" t="s">
        <v>264</v>
      </c>
      <c r="B186" s="36"/>
      <c r="C186" s="37"/>
      <c r="D186" s="36"/>
      <c r="E186" s="37"/>
      <c r="F186" s="36"/>
      <c r="G186" s="37"/>
      <c r="H186" s="36"/>
      <c r="I186" s="37"/>
    </row>
    <row r="187" spans="1:9" x14ac:dyDescent="0.25">
      <c r="A187" s="96"/>
      <c r="B187" s="36"/>
      <c r="C187" s="37"/>
      <c r="D187" s="36"/>
      <c r="E187" s="37"/>
      <c r="F187" s="36"/>
      <c r="G187" s="37"/>
      <c r="H187" s="36"/>
      <c r="I187" s="37"/>
    </row>
    <row r="188" spans="1:9" x14ac:dyDescent="0.25">
      <c r="A188" s="64"/>
      <c r="B188" s="62" t="s">
        <v>275</v>
      </c>
      <c r="C188" s="37"/>
      <c r="D188" s="36"/>
      <c r="E188" s="37"/>
      <c r="F188" s="36"/>
      <c r="G188" s="37"/>
      <c r="H188" s="36"/>
      <c r="I188" s="37"/>
    </row>
    <row r="189" spans="1:9" x14ac:dyDescent="0.25">
      <c r="A189" s="64" t="s">
        <v>279</v>
      </c>
      <c r="B189" s="62">
        <v>1159</v>
      </c>
      <c r="C189" s="37"/>
      <c r="D189" s="36"/>
      <c r="E189" s="37"/>
      <c r="F189" s="36"/>
      <c r="G189" s="37"/>
      <c r="H189" s="36"/>
      <c r="I189" s="37"/>
    </row>
    <row r="190" spans="1:9" x14ac:dyDescent="0.25">
      <c r="A190" s="64" t="s">
        <v>277</v>
      </c>
      <c r="B190" s="62">
        <v>624</v>
      </c>
      <c r="C190" s="37"/>
      <c r="D190" s="36"/>
      <c r="E190" s="37"/>
      <c r="F190" s="36"/>
      <c r="G190" s="37"/>
      <c r="H190" s="36"/>
      <c r="I190" s="37"/>
    </row>
    <row r="191" spans="1:9" x14ac:dyDescent="0.25">
      <c r="A191" s="64" t="s">
        <v>276</v>
      </c>
      <c r="B191" s="62">
        <v>719</v>
      </c>
      <c r="C191" s="37"/>
      <c r="D191" s="36"/>
      <c r="E191" s="37"/>
      <c r="F191" s="36"/>
      <c r="G191" s="37"/>
      <c r="H191" s="36"/>
      <c r="I191" s="37"/>
    </row>
    <row r="192" spans="1:9" x14ac:dyDescent="0.25">
      <c r="A192" s="64" t="s">
        <v>278</v>
      </c>
      <c r="B192" s="62">
        <v>864</v>
      </c>
      <c r="C192" s="37"/>
      <c r="D192" s="36"/>
      <c r="E192" s="37"/>
      <c r="F192" s="36"/>
      <c r="G192" s="37"/>
      <c r="H192" s="36"/>
      <c r="I192" s="37"/>
    </row>
    <row r="193" spans="1:9" x14ac:dyDescent="0.25">
      <c r="A193" s="65"/>
      <c r="B193" s="36"/>
      <c r="C193" s="37"/>
      <c r="D193" s="36"/>
      <c r="E193" s="37"/>
      <c r="F193" s="36"/>
      <c r="G193" s="37"/>
      <c r="H193" s="36"/>
      <c r="I193" s="37"/>
    </row>
    <row r="194" spans="1:9" x14ac:dyDescent="0.25">
      <c r="A194" s="43" t="s">
        <v>287</v>
      </c>
      <c r="B194" s="97"/>
    </row>
    <row r="196" spans="1:9" x14ac:dyDescent="0.25">
      <c r="A196" s="45" t="s">
        <v>265</v>
      </c>
    </row>
    <row r="198" spans="1:9" x14ac:dyDescent="0.25">
      <c r="A198" s="62"/>
      <c r="B198" s="62" t="s">
        <v>6</v>
      </c>
      <c r="C198" s="37"/>
      <c r="D198" s="60" t="s">
        <v>294</v>
      </c>
      <c r="E198" s="37"/>
      <c r="F198" s="36"/>
      <c r="G198" s="37"/>
      <c r="H198" s="36"/>
      <c r="I198" s="37"/>
    </row>
    <row r="199" spans="1:9" x14ac:dyDescent="0.25">
      <c r="A199" s="62" t="s">
        <v>175</v>
      </c>
      <c r="B199" s="62">
        <v>50</v>
      </c>
      <c r="C199" s="37"/>
      <c r="D199" s="36"/>
      <c r="E199" s="37"/>
      <c r="F199" s="36"/>
      <c r="G199" s="37"/>
      <c r="H199" s="36"/>
      <c r="I199" s="37"/>
    </row>
    <row r="200" spans="1:9" x14ac:dyDescent="0.25">
      <c r="A200" s="62" t="s">
        <v>176</v>
      </c>
      <c r="B200" s="62">
        <v>2</v>
      </c>
      <c r="C200" s="37"/>
      <c r="D200" s="36" t="s">
        <v>300</v>
      </c>
      <c r="E200" s="37"/>
      <c r="F200" s="36"/>
      <c r="G200" s="37"/>
      <c r="H200" s="36"/>
      <c r="I200" s="37"/>
    </row>
    <row r="201" spans="1:9" x14ac:dyDescent="0.25">
      <c r="A201" s="62" t="s">
        <v>177</v>
      </c>
      <c r="B201" s="62">
        <v>1</v>
      </c>
      <c r="C201" s="37"/>
      <c r="D201" s="36"/>
      <c r="E201" s="37"/>
      <c r="F201" s="36"/>
      <c r="G201" s="37"/>
      <c r="H201" s="36"/>
      <c r="I201" s="37"/>
    </row>
    <row r="202" spans="1:9" x14ac:dyDescent="0.25">
      <c r="A202" s="62" t="s">
        <v>178</v>
      </c>
      <c r="B202" s="62">
        <v>1</v>
      </c>
      <c r="C202" s="37"/>
      <c r="D202" s="36" t="s">
        <v>301</v>
      </c>
      <c r="E202" s="37"/>
      <c r="F202" s="36"/>
      <c r="G202" s="37"/>
      <c r="H202" s="36"/>
      <c r="I202" s="37"/>
    </row>
    <row r="203" spans="1:9" x14ac:dyDescent="0.25">
      <c r="A203" s="62" t="s">
        <v>179</v>
      </c>
      <c r="B203" s="62">
        <v>4</v>
      </c>
      <c r="C203" s="37"/>
      <c r="D203" s="65" t="s">
        <v>302</v>
      </c>
      <c r="E203" s="37"/>
      <c r="F203" s="36"/>
      <c r="G203" s="37"/>
      <c r="H203" s="36"/>
      <c r="I203" s="37"/>
    </row>
    <row r="204" spans="1:9" x14ac:dyDescent="0.25">
      <c r="A204" s="62" t="s">
        <v>180</v>
      </c>
      <c r="B204" s="62">
        <v>5</v>
      </c>
      <c r="C204" s="37"/>
      <c r="D204" s="65" t="s">
        <v>303</v>
      </c>
      <c r="E204" s="37"/>
      <c r="F204" s="36"/>
      <c r="G204" s="37"/>
      <c r="H204" s="36"/>
      <c r="I204" s="37"/>
    </row>
    <row r="205" spans="1:9" x14ac:dyDescent="0.25">
      <c r="A205" s="62" t="s">
        <v>181</v>
      </c>
      <c r="B205" s="62">
        <v>5</v>
      </c>
      <c r="C205" s="37"/>
      <c r="D205" s="65" t="s">
        <v>304</v>
      </c>
      <c r="E205" s="37"/>
      <c r="F205" s="36"/>
      <c r="G205" s="37"/>
      <c r="H205" s="36"/>
      <c r="I205" s="37"/>
    </row>
    <row r="206" spans="1:9" x14ac:dyDescent="0.25">
      <c r="A206" s="62" t="s">
        <v>182</v>
      </c>
      <c r="B206" s="62">
        <v>2</v>
      </c>
      <c r="C206" s="37"/>
      <c r="D206" s="36"/>
      <c r="E206" s="37"/>
      <c r="F206" s="36"/>
      <c r="G206" s="37"/>
      <c r="H206" s="36"/>
      <c r="I206" s="37"/>
    </row>
    <row r="207" spans="1:9" x14ac:dyDescent="0.25">
      <c r="A207" s="62" t="s">
        <v>183</v>
      </c>
      <c r="B207" s="62">
        <v>20</v>
      </c>
      <c r="C207" s="37"/>
      <c r="D207" s="36"/>
      <c r="E207" s="37"/>
      <c r="F207" s="36"/>
      <c r="G207" s="37"/>
      <c r="H207" s="36"/>
      <c r="I207" s="37"/>
    </row>
    <row r="208" spans="1:9" x14ac:dyDescent="0.25">
      <c r="A208" s="62" t="s">
        <v>184</v>
      </c>
      <c r="B208" s="62">
        <v>1</v>
      </c>
      <c r="C208" s="37"/>
      <c r="D208" s="36"/>
      <c r="E208" s="37"/>
      <c r="F208" s="36"/>
      <c r="G208" s="37"/>
      <c r="H208" s="36"/>
      <c r="I208" s="37"/>
    </row>
    <row r="209" spans="1:9" x14ac:dyDescent="0.25">
      <c r="A209" s="62" t="s">
        <v>185</v>
      </c>
      <c r="B209" s="62">
        <v>1</v>
      </c>
      <c r="C209" s="37"/>
      <c r="D209" s="36"/>
      <c r="E209" s="37"/>
      <c r="F209" s="36"/>
      <c r="G209" s="37"/>
      <c r="H209" s="36"/>
      <c r="I209" s="37"/>
    </row>
    <row r="210" spans="1:9" x14ac:dyDescent="0.25">
      <c r="A210" s="62" t="s">
        <v>186</v>
      </c>
      <c r="B210" s="62">
        <v>5</v>
      </c>
      <c r="C210" s="37"/>
      <c r="D210" s="36"/>
      <c r="E210" s="37"/>
      <c r="F210" s="36"/>
      <c r="G210" s="37"/>
      <c r="H210" s="36"/>
      <c r="I210" s="37"/>
    </row>
    <row r="211" spans="1:9" x14ac:dyDescent="0.25">
      <c r="A211" s="62" t="s">
        <v>187</v>
      </c>
      <c r="B211" s="62">
        <v>1</v>
      </c>
      <c r="C211" s="37"/>
      <c r="D211" s="36"/>
      <c r="E211" s="37"/>
      <c r="F211" s="36"/>
      <c r="G211" s="37"/>
      <c r="H211" s="36"/>
      <c r="I211" s="37"/>
    </row>
    <row r="212" spans="1:9" x14ac:dyDescent="0.25">
      <c r="A212" s="62" t="s">
        <v>188</v>
      </c>
      <c r="B212" s="62">
        <v>2</v>
      </c>
      <c r="C212" s="37"/>
      <c r="D212" s="36"/>
      <c r="E212" s="37"/>
      <c r="F212" s="36"/>
      <c r="G212" s="37"/>
      <c r="H212" s="36"/>
      <c r="I212" s="37"/>
    </row>
    <row r="213" spans="1:9" x14ac:dyDescent="0.25">
      <c r="A213" s="62" t="s">
        <v>10</v>
      </c>
      <c r="B213" s="62">
        <v>100</v>
      </c>
      <c r="C213" s="37"/>
      <c r="D213" s="36"/>
      <c r="E213" s="37"/>
      <c r="F213" s="36"/>
      <c r="G213" s="37"/>
      <c r="H213" s="36"/>
      <c r="I213" s="37"/>
    </row>
    <row r="215" spans="1:9" x14ac:dyDescent="0.25">
      <c r="A215" s="6" t="s">
        <v>30</v>
      </c>
    </row>
    <row r="217" spans="1:9" x14ac:dyDescent="0.25">
      <c r="A217" s="62"/>
      <c r="B217" s="62" t="s">
        <v>7</v>
      </c>
      <c r="C217" s="63"/>
      <c r="D217" s="62" t="s">
        <v>8</v>
      </c>
      <c r="E217" s="63"/>
      <c r="F217" s="62" t="s">
        <v>9</v>
      </c>
      <c r="G217" s="63"/>
      <c r="H217" s="62" t="s">
        <v>10</v>
      </c>
      <c r="I217" s="63"/>
    </row>
    <row r="218" spans="1:9" x14ac:dyDescent="0.25">
      <c r="A218" s="62"/>
      <c r="B218" s="62" t="s">
        <v>5</v>
      </c>
      <c r="C218" s="63" t="s">
        <v>6</v>
      </c>
      <c r="D218" s="62" t="s">
        <v>5</v>
      </c>
      <c r="E218" s="63" t="s">
        <v>6</v>
      </c>
      <c r="F218" s="62" t="s">
        <v>5</v>
      </c>
      <c r="G218" s="63" t="s">
        <v>6</v>
      </c>
      <c r="H218" s="62" t="s">
        <v>5</v>
      </c>
      <c r="I218" s="63" t="s">
        <v>6</v>
      </c>
    </row>
    <row r="219" spans="1:9" ht="30.75" customHeight="1" x14ac:dyDescent="0.25">
      <c r="A219" s="95" t="s">
        <v>31</v>
      </c>
      <c r="B219" s="62">
        <v>168</v>
      </c>
      <c r="C219" s="63">
        <f>(B219/319)*100</f>
        <v>52.664576802507831</v>
      </c>
      <c r="D219" s="62">
        <v>98</v>
      </c>
      <c r="E219" s="63">
        <f>(D219/212)*100</f>
        <v>46.226415094339622</v>
      </c>
      <c r="F219" s="62">
        <v>114</v>
      </c>
      <c r="G219" s="63">
        <f>(F219/276)*100</f>
        <v>41.304347826086953</v>
      </c>
      <c r="H219" s="62">
        <f t="shared" ref="H219:H223" si="44">(B219+D219+F219)</f>
        <v>380</v>
      </c>
      <c r="I219" s="63">
        <f>(H219/807)*100</f>
        <v>47.08798017348203</v>
      </c>
    </row>
    <row r="220" spans="1:9" ht="30" customHeight="1" x14ac:dyDescent="0.25">
      <c r="A220" s="95" t="s">
        <v>32</v>
      </c>
      <c r="B220" s="62">
        <v>13</v>
      </c>
      <c r="C220" s="63">
        <f t="shared" ref="C220:C227" si="45">(B220/319)*100</f>
        <v>4.0752351097178678</v>
      </c>
      <c r="D220" s="62">
        <v>4</v>
      </c>
      <c r="E220" s="63">
        <f t="shared" ref="E220:E227" si="46">(D220/212)*100</f>
        <v>1.8867924528301887</v>
      </c>
      <c r="F220" s="62">
        <v>10</v>
      </c>
      <c r="G220" s="63">
        <f t="shared" ref="G220:G227" si="47">(F220/276)*100</f>
        <v>3.6231884057971016</v>
      </c>
      <c r="H220" s="62">
        <f t="shared" si="44"/>
        <v>27</v>
      </c>
      <c r="I220" s="63">
        <f t="shared" ref="I220:I227" si="48">(H220/807)*100</f>
        <v>3.3457249070631967</v>
      </c>
    </row>
    <row r="221" spans="1:9" ht="27" customHeight="1" x14ac:dyDescent="0.25">
      <c r="A221" s="95" t="s">
        <v>33</v>
      </c>
      <c r="B221" s="62">
        <v>23</v>
      </c>
      <c r="C221" s="63">
        <f t="shared" si="45"/>
        <v>7.2100313479623823</v>
      </c>
      <c r="D221" s="62">
        <v>6</v>
      </c>
      <c r="E221" s="63">
        <f t="shared" si="46"/>
        <v>2.8301886792452833</v>
      </c>
      <c r="F221" s="62">
        <v>26</v>
      </c>
      <c r="G221" s="63">
        <f t="shared" si="47"/>
        <v>9.4202898550724647</v>
      </c>
      <c r="H221" s="62">
        <f t="shared" si="44"/>
        <v>55</v>
      </c>
      <c r="I221" s="63">
        <f t="shared" si="48"/>
        <v>6.8153655514250318</v>
      </c>
    </row>
    <row r="222" spans="1:9" ht="27" customHeight="1" x14ac:dyDescent="0.25">
      <c r="A222" s="95" t="s">
        <v>34</v>
      </c>
      <c r="B222" s="98">
        <v>65</v>
      </c>
      <c r="C222" s="63">
        <f t="shared" si="45"/>
        <v>20.376175548589341</v>
      </c>
      <c r="D222" s="62">
        <v>42</v>
      </c>
      <c r="E222" s="63">
        <f t="shared" si="46"/>
        <v>19.811320754716981</v>
      </c>
      <c r="F222" s="62">
        <v>75</v>
      </c>
      <c r="G222" s="63">
        <f t="shared" si="47"/>
        <v>27.173913043478258</v>
      </c>
      <c r="H222" s="62">
        <f t="shared" si="44"/>
        <v>182</v>
      </c>
      <c r="I222" s="63">
        <f t="shared" si="48"/>
        <v>22.552664188351919</v>
      </c>
    </row>
    <row r="223" spans="1:9" ht="14.25" customHeight="1" x14ac:dyDescent="0.25">
      <c r="A223" s="95" t="s">
        <v>35</v>
      </c>
      <c r="B223" s="98">
        <v>40</v>
      </c>
      <c r="C223" s="63">
        <f t="shared" si="45"/>
        <v>12.539184952978054</v>
      </c>
      <c r="D223" s="62">
        <v>31</v>
      </c>
      <c r="E223" s="63">
        <f t="shared" si="46"/>
        <v>14.622641509433961</v>
      </c>
      <c r="F223" s="62">
        <v>32</v>
      </c>
      <c r="G223" s="63">
        <f t="shared" si="47"/>
        <v>11.594202898550725</v>
      </c>
      <c r="H223" s="62">
        <f t="shared" si="44"/>
        <v>103</v>
      </c>
      <c r="I223" s="63">
        <f t="shared" si="48"/>
        <v>12.763320941759604</v>
      </c>
    </row>
    <row r="224" spans="1:9" ht="29.25" customHeight="1" x14ac:dyDescent="0.25">
      <c r="A224" s="95" t="s">
        <v>36</v>
      </c>
      <c r="B224" s="62">
        <v>24</v>
      </c>
      <c r="C224" s="63">
        <f t="shared" si="45"/>
        <v>7.523510971786834</v>
      </c>
      <c r="D224" s="62">
        <v>16</v>
      </c>
      <c r="E224" s="63">
        <f t="shared" si="46"/>
        <v>7.5471698113207548</v>
      </c>
      <c r="F224" s="62">
        <v>33</v>
      </c>
      <c r="G224" s="63">
        <f t="shared" si="47"/>
        <v>11.956521739130435</v>
      </c>
      <c r="H224" s="62">
        <f t="shared" ref="H224:H227" si="49">(B224+D224+F224)</f>
        <v>73</v>
      </c>
      <c r="I224" s="63">
        <f t="shared" si="48"/>
        <v>9.0458488228004956</v>
      </c>
    </row>
    <row r="225" spans="1:16" ht="17.25" customHeight="1" x14ac:dyDescent="0.25">
      <c r="A225" s="95" t="s">
        <v>313</v>
      </c>
      <c r="B225" s="62">
        <v>105</v>
      </c>
      <c r="C225" s="63">
        <f t="shared" si="45"/>
        <v>32.915360501567399</v>
      </c>
      <c r="D225" s="62">
        <v>84</v>
      </c>
      <c r="E225" s="63">
        <f t="shared" si="46"/>
        <v>39.622641509433961</v>
      </c>
      <c r="F225" s="62">
        <v>84</v>
      </c>
      <c r="G225" s="63">
        <f t="shared" si="47"/>
        <v>30.434782608695656</v>
      </c>
      <c r="H225" s="62">
        <f t="shared" si="49"/>
        <v>273</v>
      </c>
      <c r="I225" s="63">
        <f t="shared" si="48"/>
        <v>33.828996282527882</v>
      </c>
      <c r="K225" s="82" t="s">
        <v>305</v>
      </c>
      <c r="L225" s="82"/>
      <c r="M225" s="82"/>
      <c r="N225" s="82"/>
      <c r="O225" s="82"/>
      <c r="P225" s="82"/>
    </row>
    <row r="226" spans="1:16" ht="13.5" customHeight="1" x14ac:dyDescent="0.25">
      <c r="A226" s="99" t="s">
        <v>38</v>
      </c>
      <c r="B226" s="62">
        <v>6</v>
      </c>
      <c r="C226" s="63">
        <f t="shared" si="45"/>
        <v>1.8808777429467085</v>
      </c>
      <c r="D226" s="62">
        <v>5</v>
      </c>
      <c r="E226" s="63">
        <f t="shared" si="46"/>
        <v>2.358490566037736</v>
      </c>
      <c r="F226" s="62">
        <v>4</v>
      </c>
      <c r="G226" s="63">
        <f t="shared" si="47"/>
        <v>1.4492753623188406</v>
      </c>
      <c r="H226" s="62">
        <f t="shared" si="49"/>
        <v>15</v>
      </c>
      <c r="I226" s="63">
        <f t="shared" si="48"/>
        <v>1.8587360594795539</v>
      </c>
    </row>
    <row r="227" spans="1:16" x14ac:dyDescent="0.25">
      <c r="A227" s="99" t="s">
        <v>37</v>
      </c>
      <c r="B227" s="62">
        <v>23</v>
      </c>
      <c r="C227" s="63">
        <f t="shared" si="45"/>
        <v>7.2100313479623823</v>
      </c>
      <c r="D227" s="62">
        <v>22</v>
      </c>
      <c r="E227" s="63">
        <f t="shared" si="46"/>
        <v>10.377358490566039</v>
      </c>
      <c r="F227" s="62">
        <v>31</v>
      </c>
      <c r="G227" s="63">
        <f t="shared" si="47"/>
        <v>11.231884057971014</v>
      </c>
      <c r="H227" s="62">
        <f t="shared" si="49"/>
        <v>76</v>
      </c>
      <c r="I227" s="63">
        <f t="shared" si="48"/>
        <v>9.4175960346964054</v>
      </c>
    </row>
    <row r="229" spans="1:16" x14ac:dyDescent="0.25">
      <c r="A229" s="6" t="s">
        <v>39</v>
      </c>
    </row>
    <row r="231" spans="1:16" x14ac:dyDescent="0.25">
      <c r="A231" s="62"/>
      <c r="B231" s="62" t="s">
        <v>7</v>
      </c>
      <c r="C231" s="63"/>
      <c r="D231" s="62" t="s">
        <v>8</v>
      </c>
      <c r="E231" s="63"/>
      <c r="F231" s="62" t="s">
        <v>9</v>
      </c>
      <c r="G231" s="63"/>
      <c r="H231" s="62" t="s">
        <v>10</v>
      </c>
      <c r="I231" s="63"/>
    </row>
    <row r="232" spans="1:16" x14ac:dyDescent="0.25">
      <c r="A232" s="62"/>
      <c r="B232" s="62" t="s">
        <v>5</v>
      </c>
      <c r="C232" s="63" t="s">
        <v>6</v>
      </c>
      <c r="D232" s="62" t="s">
        <v>5</v>
      </c>
      <c r="E232" s="63" t="s">
        <v>6</v>
      </c>
      <c r="F232" s="62" t="s">
        <v>5</v>
      </c>
      <c r="G232" s="63" t="s">
        <v>6</v>
      </c>
      <c r="H232" s="62" t="s">
        <v>5</v>
      </c>
      <c r="I232" s="63" t="s">
        <v>6</v>
      </c>
    </row>
    <row r="233" spans="1:16" ht="27" customHeight="1" x14ac:dyDescent="0.25">
      <c r="A233" s="95" t="s">
        <v>31</v>
      </c>
      <c r="B233" s="62">
        <v>154</v>
      </c>
      <c r="C233" s="63">
        <f>(B233/319)*100</f>
        <v>48.275862068965516</v>
      </c>
      <c r="D233" s="62">
        <v>82</v>
      </c>
      <c r="E233" s="63">
        <f>(D233/212)*100</f>
        <v>38.679245283018872</v>
      </c>
      <c r="F233" s="62">
        <v>104</v>
      </c>
      <c r="G233" s="63">
        <f>(F233/276)*100</f>
        <v>37.681159420289859</v>
      </c>
      <c r="H233" s="62">
        <f t="shared" ref="H233:H242" si="50">(B233+D233+F233)</f>
        <v>340</v>
      </c>
      <c r="I233" s="63">
        <f>(H233/807)*100</f>
        <v>42.131350681536553</v>
      </c>
    </row>
    <row r="234" spans="1:16" ht="31.5" customHeight="1" x14ac:dyDescent="0.25">
      <c r="A234" s="95" t="s">
        <v>32</v>
      </c>
      <c r="B234" s="62">
        <v>15</v>
      </c>
      <c r="C234" s="63">
        <f t="shared" ref="C234:C242" si="51">(B234/319)*100</f>
        <v>4.7021943573667713</v>
      </c>
      <c r="D234" s="62">
        <v>7</v>
      </c>
      <c r="E234" s="63">
        <f t="shared" ref="E234:E242" si="52">(D234/212)*100</f>
        <v>3.3018867924528301</v>
      </c>
      <c r="F234" s="62">
        <v>6</v>
      </c>
      <c r="G234" s="63">
        <f t="shared" ref="G234:G242" si="53">(F234/276)*100</f>
        <v>2.1739130434782608</v>
      </c>
      <c r="H234" s="62">
        <f t="shared" si="50"/>
        <v>28</v>
      </c>
      <c r="I234" s="63">
        <f t="shared" ref="I234:I242" si="54">(H234/807)*100</f>
        <v>3.4696406443618342</v>
      </c>
    </row>
    <row r="235" spans="1:16" ht="30.75" customHeight="1" x14ac:dyDescent="0.25">
      <c r="A235" s="95" t="s">
        <v>33</v>
      </c>
      <c r="B235" s="62">
        <v>35</v>
      </c>
      <c r="C235" s="63">
        <f t="shared" si="51"/>
        <v>10.9717868338558</v>
      </c>
      <c r="D235" s="62">
        <v>16</v>
      </c>
      <c r="E235" s="63">
        <f t="shared" si="52"/>
        <v>7.5471698113207548</v>
      </c>
      <c r="F235" s="62">
        <v>29</v>
      </c>
      <c r="G235" s="63">
        <f t="shared" si="53"/>
        <v>10.507246376811594</v>
      </c>
      <c r="H235" s="62">
        <f t="shared" si="50"/>
        <v>80</v>
      </c>
      <c r="I235" s="63">
        <f t="shared" si="54"/>
        <v>9.9132589838909553</v>
      </c>
    </row>
    <row r="236" spans="1:16" ht="33.75" customHeight="1" x14ac:dyDescent="0.25">
      <c r="A236" s="95" t="s">
        <v>34</v>
      </c>
      <c r="B236" s="98">
        <v>57</v>
      </c>
      <c r="C236" s="63">
        <f t="shared" si="51"/>
        <v>17.868338557993731</v>
      </c>
      <c r="D236" s="62">
        <v>28</v>
      </c>
      <c r="E236" s="63">
        <f t="shared" si="52"/>
        <v>13.20754716981132</v>
      </c>
      <c r="F236" s="62">
        <v>55</v>
      </c>
      <c r="G236" s="63">
        <f t="shared" si="53"/>
        <v>19.927536231884059</v>
      </c>
      <c r="H236" s="62">
        <f t="shared" si="50"/>
        <v>140</v>
      </c>
      <c r="I236" s="63">
        <f t="shared" si="54"/>
        <v>17.348203221809168</v>
      </c>
    </row>
    <row r="237" spans="1:16" ht="15" customHeight="1" x14ac:dyDescent="0.25">
      <c r="A237" s="95" t="s">
        <v>35</v>
      </c>
      <c r="B237" s="98">
        <v>15</v>
      </c>
      <c r="C237" s="63">
        <f t="shared" si="51"/>
        <v>4.7021943573667713</v>
      </c>
      <c r="D237" s="62">
        <v>17</v>
      </c>
      <c r="E237" s="63">
        <f t="shared" si="52"/>
        <v>8.0188679245283012</v>
      </c>
      <c r="F237" s="62">
        <v>11</v>
      </c>
      <c r="G237" s="63">
        <f t="shared" si="53"/>
        <v>3.9855072463768111</v>
      </c>
      <c r="H237" s="62">
        <f t="shared" si="50"/>
        <v>43</v>
      </c>
      <c r="I237" s="63">
        <f t="shared" si="54"/>
        <v>5.3283767038413883</v>
      </c>
    </row>
    <row r="238" spans="1:16" ht="27.75" customHeight="1" x14ac:dyDescent="0.25">
      <c r="A238" s="95" t="s">
        <v>36</v>
      </c>
      <c r="B238" s="62">
        <v>19</v>
      </c>
      <c r="C238" s="63">
        <f t="shared" si="51"/>
        <v>5.9561128526645764</v>
      </c>
      <c r="D238" s="62">
        <v>13</v>
      </c>
      <c r="E238" s="63">
        <f t="shared" si="52"/>
        <v>6.132075471698113</v>
      </c>
      <c r="F238" s="62">
        <v>26</v>
      </c>
      <c r="G238" s="63">
        <f t="shared" si="53"/>
        <v>9.4202898550724647</v>
      </c>
      <c r="H238" s="62">
        <f t="shared" si="50"/>
        <v>58</v>
      </c>
      <c r="I238" s="63">
        <f t="shared" si="54"/>
        <v>7.1871127633209424</v>
      </c>
    </row>
    <row r="239" spans="1:16" ht="17.25" customHeight="1" x14ac:dyDescent="0.25">
      <c r="A239" s="95" t="s">
        <v>313</v>
      </c>
      <c r="B239" s="62">
        <v>132</v>
      </c>
      <c r="C239" s="63">
        <f t="shared" si="51"/>
        <v>41.379310344827587</v>
      </c>
      <c r="D239" s="62">
        <v>101</v>
      </c>
      <c r="E239" s="63">
        <f t="shared" si="52"/>
        <v>47.641509433962263</v>
      </c>
      <c r="F239" s="62">
        <v>118</v>
      </c>
      <c r="G239" s="63">
        <f t="shared" si="53"/>
        <v>42.753623188405797</v>
      </c>
      <c r="H239" s="62">
        <f t="shared" si="50"/>
        <v>351</v>
      </c>
      <c r="I239" s="63">
        <f t="shared" si="54"/>
        <v>43.494423791821561</v>
      </c>
    </row>
    <row r="240" spans="1:16" ht="16.5" customHeight="1" x14ac:dyDescent="0.25">
      <c r="A240" s="99" t="s">
        <v>38</v>
      </c>
      <c r="B240" s="62">
        <v>10</v>
      </c>
      <c r="C240" s="63">
        <f t="shared" si="51"/>
        <v>3.1347962382445136</v>
      </c>
      <c r="D240" s="62">
        <v>7</v>
      </c>
      <c r="E240" s="63">
        <f t="shared" si="52"/>
        <v>3.3018867924528301</v>
      </c>
      <c r="F240" s="62">
        <v>6</v>
      </c>
      <c r="G240" s="63">
        <f t="shared" si="53"/>
        <v>2.1739130434782608</v>
      </c>
      <c r="H240" s="62">
        <f t="shared" si="50"/>
        <v>23</v>
      </c>
      <c r="I240" s="63">
        <f t="shared" si="54"/>
        <v>2.8500619578686495</v>
      </c>
      <c r="K240" s="82" t="s">
        <v>305</v>
      </c>
      <c r="L240" s="82"/>
      <c r="M240" s="82"/>
      <c r="N240" s="82"/>
      <c r="O240" s="82"/>
      <c r="P240" s="82"/>
    </row>
    <row r="241" spans="1:9" x14ac:dyDescent="0.25">
      <c r="A241" s="99" t="s">
        <v>40</v>
      </c>
      <c r="B241" s="62">
        <v>16</v>
      </c>
      <c r="C241" s="63">
        <f t="shared" si="51"/>
        <v>5.0156739811912221</v>
      </c>
      <c r="D241" s="62">
        <v>13</v>
      </c>
      <c r="E241" s="63">
        <f t="shared" si="52"/>
        <v>6.132075471698113</v>
      </c>
      <c r="F241" s="62">
        <v>16</v>
      </c>
      <c r="G241" s="63">
        <f t="shared" si="53"/>
        <v>5.7971014492753623</v>
      </c>
      <c r="H241" s="62">
        <f t="shared" si="50"/>
        <v>45</v>
      </c>
      <c r="I241" s="63">
        <f t="shared" si="54"/>
        <v>5.5762081784386615</v>
      </c>
    </row>
    <row r="242" spans="1:9" x14ac:dyDescent="0.25">
      <c r="A242" s="99" t="s">
        <v>26</v>
      </c>
      <c r="B242" s="62">
        <v>10</v>
      </c>
      <c r="C242" s="63">
        <f t="shared" si="51"/>
        <v>3.1347962382445136</v>
      </c>
      <c r="D242" s="62">
        <v>14</v>
      </c>
      <c r="E242" s="63">
        <f t="shared" si="52"/>
        <v>6.6037735849056602</v>
      </c>
      <c r="F242" s="62">
        <v>26</v>
      </c>
      <c r="G242" s="63">
        <f t="shared" si="53"/>
        <v>9.4202898550724647</v>
      </c>
      <c r="H242" s="62">
        <f t="shared" si="50"/>
        <v>50</v>
      </c>
      <c r="I242" s="63">
        <f t="shared" si="54"/>
        <v>6.195786864931847</v>
      </c>
    </row>
    <row r="244" spans="1:9" x14ac:dyDescent="0.25">
      <c r="A244" s="55" t="s">
        <v>41</v>
      </c>
      <c r="B244" s="56"/>
      <c r="C244" s="56"/>
      <c r="D244" s="56"/>
      <c r="E244" s="56"/>
      <c r="F244" s="56"/>
      <c r="G244" s="56"/>
      <c r="H244" s="56"/>
      <c r="I244" s="56"/>
    </row>
    <row r="246" spans="1:9" x14ac:dyDescent="0.25">
      <c r="A246" s="62"/>
      <c r="B246" s="62" t="s">
        <v>7</v>
      </c>
      <c r="C246" s="63"/>
      <c r="D246" s="62" t="s">
        <v>8</v>
      </c>
      <c r="E246" s="63"/>
      <c r="F246" s="62" t="s">
        <v>9</v>
      </c>
      <c r="G246" s="63"/>
      <c r="H246" s="62" t="s">
        <v>10</v>
      </c>
      <c r="I246" s="63"/>
    </row>
    <row r="247" spans="1:9" x14ac:dyDescent="0.25">
      <c r="A247" s="62"/>
      <c r="B247" s="62" t="s">
        <v>5</v>
      </c>
      <c r="C247" s="63" t="s">
        <v>6</v>
      </c>
      <c r="D247" s="62" t="s">
        <v>5</v>
      </c>
      <c r="E247" s="63" t="s">
        <v>6</v>
      </c>
      <c r="F247" s="62" t="s">
        <v>5</v>
      </c>
      <c r="G247" s="63" t="s">
        <v>6</v>
      </c>
      <c r="H247" s="62" t="s">
        <v>5</v>
      </c>
      <c r="I247" s="63" t="s">
        <v>6</v>
      </c>
    </row>
    <row r="248" spans="1:9" ht="32.25" customHeight="1" x14ac:dyDescent="0.25">
      <c r="A248" s="95" t="s">
        <v>59</v>
      </c>
      <c r="B248" s="98">
        <v>111</v>
      </c>
      <c r="C248" s="63">
        <f>(B248/302)*100</f>
        <v>36.754966887417218</v>
      </c>
      <c r="D248" s="62">
        <v>73</v>
      </c>
      <c r="E248" s="63">
        <f>(D248/206)*100</f>
        <v>35.436893203883493</v>
      </c>
      <c r="F248" s="62">
        <v>94</v>
      </c>
      <c r="G248" s="63">
        <f>(F248/262)*100</f>
        <v>35.877862595419849</v>
      </c>
      <c r="H248" s="62">
        <f t="shared" ref="H248:H256" si="55">(B248+D248+F248)</f>
        <v>278</v>
      </c>
      <c r="I248" s="63">
        <f>(H248/770)*100</f>
        <v>36.103896103896105</v>
      </c>
    </row>
    <row r="249" spans="1:9" ht="27" customHeight="1" x14ac:dyDescent="0.25">
      <c r="A249" s="95" t="s">
        <v>60</v>
      </c>
      <c r="B249" s="98">
        <v>42</v>
      </c>
      <c r="C249" s="63">
        <f t="shared" ref="C249:C256" si="56">(B249/302)*100</f>
        <v>13.90728476821192</v>
      </c>
      <c r="D249" s="62">
        <v>37</v>
      </c>
      <c r="E249" s="63">
        <f t="shared" ref="E249:E256" si="57">(D249/206)*100</f>
        <v>17.961165048543691</v>
      </c>
      <c r="F249" s="62">
        <v>36</v>
      </c>
      <c r="G249" s="63">
        <f t="shared" ref="G249:G256" si="58">(F249/262)*100</f>
        <v>13.740458015267176</v>
      </c>
      <c r="H249" s="62">
        <f t="shared" si="55"/>
        <v>115</v>
      </c>
      <c r="I249" s="63">
        <f t="shared" ref="I249:I256" si="59">(H249/770)*100</f>
        <v>14.935064935064934</v>
      </c>
    </row>
    <row r="250" spans="1:9" ht="27.95" customHeight="1" x14ac:dyDescent="0.25">
      <c r="A250" s="95" t="s">
        <v>61</v>
      </c>
      <c r="B250" s="98">
        <v>30</v>
      </c>
      <c r="C250" s="63">
        <f t="shared" si="56"/>
        <v>9.9337748344370862</v>
      </c>
      <c r="D250" s="62">
        <v>24</v>
      </c>
      <c r="E250" s="63">
        <f t="shared" si="57"/>
        <v>11.650485436893204</v>
      </c>
      <c r="F250" s="62">
        <v>26</v>
      </c>
      <c r="G250" s="63">
        <f t="shared" si="58"/>
        <v>9.9236641221374047</v>
      </c>
      <c r="H250" s="62">
        <f t="shared" si="55"/>
        <v>80</v>
      </c>
      <c r="I250" s="63">
        <f t="shared" si="59"/>
        <v>10.38961038961039</v>
      </c>
    </row>
    <row r="251" spans="1:9" ht="33.6" customHeight="1" x14ac:dyDescent="0.25">
      <c r="A251" s="95" t="s">
        <v>62</v>
      </c>
      <c r="B251" s="98">
        <v>26</v>
      </c>
      <c r="C251" s="63">
        <f t="shared" si="56"/>
        <v>8.6092715231788084</v>
      </c>
      <c r="D251" s="62">
        <v>19</v>
      </c>
      <c r="E251" s="63">
        <f t="shared" si="57"/>
        <v>9.2233009708737868</v>
      </c>
      <c r="F251" s="62">
        <v>19</v>
      </c>
      <c r="G251" s="63">
        <f t="shared" si="58"/>
        <v>7.2519083969465647</v>
      </c>
      <c r="H251" s="62">
        <f t="shared" si="55"/>
        <v>64</v>
      </c>
      <c r="I251" s="63">
        <f t="shared" si="59"/>
        <v>8.3116883116883109</v>
      </c>
    </row>
    <row r="252" spans="1:9" ht="33" customHeight="1" x14ac:dyDescent="0.25">
      <c r="A252" s="95" t="s">
        <v>63</v>
      </c>
      <c r="B252" s="98">
        <v>7</v>
      </c>
      <c r="C252" s="63">
        <f t="shared" si="56"/>
        <v>2.3178807947019866</v>
      </c>
      <c r="D252" s="62">
        <v>3</v>
      </c>
      <c r="E252" s="63">
        <f t="shared" si="57"/>
        <v>1.4563106796116505</v>
      </c>
      <c r="F252" s="62">
        <v>6</v>
      </c>
      <c r="G252" s="63">
        <f t="shared" si="58"/>
        <v>2.2900763358778624</v>
      </c>
      <c r="H252" s="62">
        <f t="shared" si="55"/>
        <v>16</v>
      </c>
      <c r="I252" s="63">
        <f t="shared" si="59"/>
        <v>2.0779220779220777</v>
      </c>
    </row>
    <row r="253" spans="1:9" ht="29.25" customHeight="1" x14ac:dyDescent="0.25">
      <c r="A253" s="95" t="s">
        <v>66</v>
      </c>
      <c r="B253" s="98">
        <v>12</v>
      </c>
      <c r="C253" s="63">
        <f t="shared" si="56"/>
        <v>3.9735099337748347</v>
      </c>
      <c r="D253" s="62">
        <v>12</v>
      </c>
      <c r="E253" s="63">
        <f t="shared" si="57"/>
        <v>5.825242718446602</v>
      </c>
      <c r="F253" s="62">
        <v>4</v>
      </c>
      <c r="G253" s="63">
        <f t="shared" si="58"/>
        <v>1.5267175572519083</v>
      </c>
      <c r="H253" s="62">
        <f t="shared" si="55"/>
        <v>28</v>
      </c>
      <c r="I253" s="63">
        <f t="shared" si="59"/>
        <v>3.6363636363636362</v>
      </c>
    </row>
    <row r="254" spans="1:9" ht="28.5" customHeight="1" x14ac:dyDescent="0.25">
      <c r="A254" s="95" t="s">
        <v>67</v>
      </c>
      <c r="B254" s="98">
        <v>3</v>
      </c>
      <c r="C254" s="63">
        <f t="shared" si="56"/>
        <v>0.99337748344370869</v>
      </c>
      <c r="D254" s="62">
        <v>4</v>
      </c>
      <c r="E254" s="63">
        <f t="shared" si="57"/>
        <v>1.9417475728155338</v>
      </c>
      <c r="F254" s="62">
        <v>2</v>
      </c>
      <c r="G254" s="63">
        <f t="shared" si="58"/>
        <v>0.76335877862595414</v>
      </c>
      <c r="H254" s="62">
        <f t="shared" si="55"/>
        <v>9</v>
      </c>
      <c r="I254" s="63">
        <f t="shared" si="59"/>
        <v>1.1688311688311688</v>
      </c>
    </row>
    <row r="255" spans="1:9" x14ac:dyDescent="0.25">
      <c r="A255" s="99" t="s">
        <v>72</v>
      </c>
      <c r="B255" s="98">
        <v>28</v>
      </c>
      <c r="C255" s="63">
        <f t="shared" si="56"/>
        <v>9.2715231788079464</v>
      </c>
      <c r="D255" s="62">
        <v>15</v>
      </c>
      <c r="E255" s="63">
        <f t="shared" si="57"/>
        <v>7.2815533980582519</v>
      </c>
      <c r="F255" s="62">
        <v>28</v>
      </c>
      <c r="G255" s="63">
        <f t="shared" si="58"/>
        <v>10.687022900763358</v>
      </c>
      <c r="H255" s="62">
        <f t="shared" si="55"/>
        <v>71</v>
      </c>
      <c r="I255" s="63">
        <f t="shared" si="59"/>
        <v>9.220779220779221</v>
      </c>
    </row>
    <row r="256" spans="1:9" x14ac:dyDescent="0.25">
      <c r="A256" s="99" t="s">
        <v>26</v>
      </c>
      <c r="B256" s="98">
        <v>43</v>
      </c>
      <c r="C256" s="63">
        <f t="shared" si="56"/>
        <v>14.23841059602649</v>
      </c>
      <c r="D256" s="62">
        <v>19</v>
      </c>
      <c r="E256" s="63">
        <f t="shared" si="57"/>
        <v>9.2233009708737868</v>
      </c>
      <c r="F256" s="62">
        <v>47</v>
      </c>
      <c r="G256" s="63">
        <f t="shared" si="58"/>
        <v>17.938931297709924</v>
      </c>
      <c r="H256" s="62">
        <f t="shared" si="55"/>
        <v>109</v>
      </c>
      <c r="I256" s="63">
        <f t="shared" si="59"/>
        <v>14.155844155844155</v>
      </c>
    </row>
    <row r="257" spans="1:9" x14ac:dyDescent="0.25">
      <c r="A257" s="95" t="s">
        <v>10</v>
      </c>
      <c r="B257" s="98">
        <f t="shared" ref="B257:I257" si="60">SUM(B248:B256)</f>
        <v>302</v>
      </c>
      <c r="C257" s="98">
        <f t="shared" si="60"/>
        <v>100</v>
      </c>
      <c r="D257" s="98">
        <f t="shared" si="60"/>
        <v>206</v>
      </c>
      <c r="E257" s="98">
        <f t="shared" si="60"/>
        <v>100</v>
      </c>
      <c r="F257" s="98">
        <f t="shared" si="60"/>
        <v>262</v>
      </c>
      <c r="G257" s="98">
        <f t="shared" si="60"/>
        <v>100</v>
      </c>
      <c r="H257" s="98">
        <f t="shared" si="60"/>
        <v>770</v>
      </c>
      <c r="I257" s="98">
        <f t="shared" si="60"/>
        <v>100.00000000000001</v>
      </c>
    </row>
    <row r="259" spans="1:9" x14ac:dyDescent="0.25">
      <c r="A259" s="8" t="s">
        <v>42</v>
      </c>
    </row>
    <row r="260" spans="1:9" x14ac:dyDescent="0.25">
      <c r="A260" s="8"/>
    </row>
    <row r="261" spans="1:9" x14ac:dyDescent="0.25">
      <c r="A261" s="62"/>
      <c r="B261" s="62" t="s">
        <v>7</v>
      </c>
      <c r="C261" s="63"/>
      <c r="D261" s="62" t="s">
        <v>8</v>
      </c>
      <c r="E261" s="63"/>
      <c r="F261" s="62" t="s">
        <v>9</v>
      </c>
      <c r="G261" s="63"/>
      <c r="H261" s="62" t="s">
        <v>10</v>
      </c>
      <c r="I261" s="63"/>
    </row>
    <row r="262" spans="1:9" x14ac:dyDescent="0.25">
      <c r="A262" s="62"/>
      <c r="B262" s="62" t="s">
        <v>5</v>
      </c>
      <c r="C262" s="63" t="s">
        <v>6</v>
      </c>
      <c r="D262" s="62" t="s">
        <v>5</v>
      </c>
      <c r="E262" s="63" t="s">
        <v>6</v>
      </c>
      <c r="F262" s="62" t="s">
        <v>5</v>
      </c>
      <c r="G262" s="63" t="s">
        <v>6</v>
      </c>
      <c r="H262" s="62" t="s">
        <v>5</v>
      </c>
      <c r="I262" s="63" t="s">
        <v>6</v>
      </c>
    </row>
    <row r="263" spans="1:9" x14ac:dyDescent="0.25">
      <c r="A263" s="95" t="s">
        <v>74</v>
      </c>
      <c r="B263" s="98">
        <v>207</v>
      </c>
      <c r="C263" s="63">
        <f>(B263/319)*100</f>
        <v>64.890282131661451</v>
      </c>
      <c r="D263" s="62">
        <v>130</v>
      </c>
      <c r="E263" s="63">
        <f>(D263/212)*100</f>
        <v>61.320754716981128</v>
      </c>
      <c r="F263" s="62">
        <v>180</v>
      </c>
      <c r="G263" s="63">
        <f>(F263/276)*100</f>
        <v>65.217391304347828</v>
      </c>
      <c r="H263" s="62">
        <f t="shared" ref="H263:H276" si="61">(B263+D263+F263)</f>
        <v>517</v>
      </c>
      <c r="I263" s="63">
        <f>(H263/807)*100</f>
        <v>64.064436183395287</v>
      </c>
    </row>
    <row r="264" spans="1:9" ht="16.5" customHeight="1" x14ac:dyDescent="0.25">
      <c r="A264" s="95" t="s">
        <v>75</v>
      </c>
      <c r="B264" s="98">
        <v>96</v>
      </c>
      <c r="C264" s="63">
        <f t="shared" ref="C264:C276" si="62">(B264/319)*100</f>
        <v>30.094043887147336</v>
      </c>
      <c r="D264" s="62">
        <v>74</v>
      </c>
      <c r="E264" s="63">
        <f t="shared" ref="E264:E276" si="63">(D264/212)*100</f>
        <v>34.905660377358487</v>
      </c>
      <c r="F264" s="62">
        <v>92</v>
      </c>
      <c r="G264" s="63">
        <f t="shared" ref="G264:G276" si="64">(F264/276)*100</f>
        <v>33.333333333333329</v>
      </c>
      <c r="H264" s="62">
        <f t="shared" si="61"/>
        <v>262</v>
      </c>
      <c r="I264" s="63">
        <f t="shared" ref="I264:I276" si="65">(H264/807)*100</f>
        <v>32.465923172242874</v>
      </c>
    </row>
    <row r="265" spans="1:9" x14ac:dyDescent="0.25">
      <c r="A265" s="95" t="s">
        <v>76</v>
      </c>
      <c r="B265" s="98">
        <v>149</v>
      </c>
      <c r="C265" s="63">
        <f t="shared" si="62"/>
        <v>46.708463949843257</v>
      </c>
      <c r="D265" s="62">
        <v>96</v>
      </c>
      <c r="E265" s="63">
        <f t="shared" si="63"/>
        <v>45.283018867924532</v>
      </c>
      <c r="F265" s="62">
        <v>115</v>
      </c>
      <c r="G265" s="63">
        <f t="shared" si="64"/>
        <v>41.666666666666671</v>
      </c>
      <c r="H265" s="62">
        <f t="shared" si="61"/>
        <v>360</v>
      </c>
      <c r="I265" s="63">
        <f t="shared" si="65"/>
        <v>44.609665427509292</v>
      </c>
    </row>
    <row r="266" spans="1:9" x14ac:dyDescent="0.25">
      <c r="A266" s="95" t="s">
        <v>77</v>
      </c>
      <c r="B266" s="98">
        <v>217</v>
      </c>
      <c r="C266" s="63">
        <f t="shared" si="62"/>
        <v>68.025078369905955</v>
      </c>
      <c r="D266" s="62">
        <v>155</v>
      </c>
      <c r="E266" s="63">
        <f t="shared" si="63"/>
        <v>73.113207547169807</v>
      </c>
      <c r="F266" s="62">
        <v>181</v>
      </c>
      <c r="G266" s="63">
        <f t="shared" si="64"/>
        <v>65.579710144927532</v>
      </c>
      <c r="H266" s="62">
        <f t="shared" si="61"/>
        <v>553</v>
      </c>
      <c r="I266" s="63">
        <f t="shared" si="65"/>
        <v>68.525402726146226</v>
      </c>
    </row>
    <row r="267" spans="1:9" ht="29.25" customHeight="1" x14ac:dyDescent="0.25">
      <c r="A267" s="95" t="s">
        <v>78</v>
      </c>
      <c r="B267" s="98">
        <v>105</v>
      </c>
      <c r="C267" s="63">
        <f t="shared" si="62"/>
        <v>32.915360501567399</v>
      </c>
      <c r="D267" s="62">
        <v>71</v>
      </c>
      <c r="E267" s="63">
        <f t="shared" si="63"/>
        <v>33.490566037735846</v>
      </c>
      <c r="F267" s="62">
        <v>65</v>
      </c>
      <c r="G267" s="63">
        <f t="shared" si="64"/>
        <v>23.55072463768116</v>
      </c>
      <c r="H267" s="62">
        <f t="shared" si="61"/>
        <v>241</v>
      </c>
      <c r="I267" s="63">
        <f t="shared" si="65"/>
        <v>29.863692688971501</v>
      </c>
    </row>
    <row r="268" spans="1:9" x14ac:dyDescent="0.25">
      <c r="A268" s="95" t="s">
        <v>79</v>
      </c>
      <c r="B268" s="98">
        <v>15</v>
      </c>
      <c r="C268" s="63">
        <f t="shared" si="62"/>
        <v>4.7021943573667713</v>
      </c>
      <c r="D268" s="62">
        <v>8</v>
      </c>
      <c r="E268" s="63">
        <f t="shared" si="63"/>
        <v>3.7735849056603774</v>
      </c>
      <c r="F268" s="62">
        <v>1</v>
      </c>
      <c r="G268" s="63">
        <f t="shared" si="64"/>
        <v>0.36231884057971014</v>
      </c>
      <c r="H268" s="62">
        <f t="shared" si="61"/>
        <v>24</v>
      </c>
      <c r="I268" s="63">
        <f t="shared" si="65"/>
        <v>2.9739776951672861</v>
      </c>
    </row>
    <row r="269" spans="1:9" ht="17.25" customHeight="1" x14ac:dyDescent="0.25">
      <c r="A269" s="95" t="s">
        <v>80</v>
      </c>
      <c r="B269" s="98">
        <v>33</v>
      </c>
      <c r="C269" s="63">
        <f t="shared" si="62"/>
        <v>10.344827586206897</v>
      </c>
      <c r="D269" s="62">
        <v>28</v>
      </c>
      <c r="E269" s="63">
        <f t="shared" si="63"/>
        <v>13.20754716981132</v>
      </c>
      <c r="F269" s="62">
        <v>34</v>
      </c>
      <c r="G269" s="63">
        <f t="shared" si="64"/>
        <v>12.318840579710146</v>
      </c>
      <c r="H269" s="62">
        <f t="shared" si="61"/>
        <v>95</v>
      </c>
      <c r="I269" s="63">
        <f t="shared" si="65"/>
        <v>11.771995043370508</v>
      </c>
    </row>
    <row r="270" spans="1:9" x14ac:dyDescent="0.25">
      <c r="A270" s="95" t="s">
        <v>81</v>
      </c>
      <c r="B270" s="98">
        <v>27</v>
      </c>
      <c r="C270" s="63">
        <f t="shared" si="62"/>
        <v>8.4639498432601883</v>
      </c>
      <c r="D270" s="62">
        <v>11</v>
      </c>
      <c r="E270" s="63">
        <f t="shared" si="63"/>
        <v>5.1886792452830193</v>
      </c>
      <c r="F270" s="62">
        <v>16</v>
      </c>
      <c r="G270" s="63">
        <f t="shared" si="64"/>
        <v>5.7971014492753623</v>
      </c>
      <c r="H270" s="62">
        <f t="shared" si="61"/>
        <v>54</v>
      </c>
      <c r="I270" s="63">
        <f t="shared" si="65"/>
        <v>6.6914498141263934</v>
      </c>
    </row>
    <row r="271" spans="1:9" ht="15.75" customHeight="1" x14ac:dyDescent="0.25">
      <c r="A271" s="95" t="s">
        <v>82</v>
      </c>
      <c r="B271" s="98">
        <v>61</v>
      </c>
      <c r="C271" s="63">
        <f t="shared" si="62"/>
        <v>19.122257053291534</v>
      </c>
      <c r="D271" s="62">
        <v>31</v>
      </c>
      <c r="E271" s="63">
        <f t="shared" si="63"/>
        <v>14.622641509433961</v>
      </c>
      <c r="F271" s="62">
        <v>52</v>
      </c>
      <c r="G271" s="63">
        <f t="shared" si="64"/>
        <v>18.840579710144929</v>
      </c>
      <c r="H271" s="62">
        <f t="shared" si="61"/>
        <v>144</v>
      </c>
      <c r="I271" s="63">
        <f t="shared" si="65"/>
        <v>17.843866171003718</v>
      </c>
    </row>
    <row r="272" spans="1:9" ht="15.75" customHeight="1" x14ac:dyDescent="0.25">
      <c r="A272" s="95" t="s">
        <v>83</v>
      </c>
      <c r="B272" s="98">
        <v>72</v>
      </c>
      <c r="C272" s="63">
        <f t="shared" si="62"/>
        <v>22.570532915360502</v>
      </c>
      <c r="D272" s="62">
        <v>57</v>
      </c>
      <c r="E272" s="63">
        <f t="shared" si="63"/>
        <v>26.886792452830189</v>
      </c>
      <c r="F272" s="62">
        <v>56</v>
      </c>
      <c r="G272" s="63">
        <f t="shared" si="64"/>
        <v>20.289855072463769</v>
      </c>
      <c r="H272" s="62">
        <f t="shared" si="61"/>
        <v>185</v>
      </c>
      <c r="I272" s="63">
        <f t="shared" si="65"/>
        <v>22.924411400247831</v>
      </c>
    </row>
    <row r="273" spans="1:16" ht="28.5" customHeight="1" x14ac:dyDescent="0.25">
      <c r="A273" s="95" t="s">
        <v>64</v>
      </c>
      <c r="B273" s="98">
        <v>53</v>
      </c>
      <c r="C273" s="63">
        <f t="shared" si="62"/>
        <v>16.614420062695924</v>
      </c>
      <c r="D273" s="62">
        <v>30</v>
      </c>
      <c r="E273" s="63">
        <f t="shared" si="63"/>
        <v>14.150943396226415</v>
      </c>
      <c r="F273" s="62">
        <v>50</v>
      </c>
      <c r="G273" s="63">
        <f t="shared" si="64"/>
        <v>18.115942028985508</v>
      </c>
      <c r="H273" s="62">
        <f t="shared" si="61"/>
        <v>133</v>
      </c>
      <c r="I273" s="63">
        <f t="shared" si="65"/>
        <v>16.480793060718714</v>
      </c>
    </row>
    <row r="274" spans="1:16" ht="29.25" customHeight="1" x14ac:dyDescent="0.25">
      <c r="A274" s="95" t="s">
        <v>65</v>
      </c>
      <c r="B274" s="98">
        <v>14</v>
      </c>
      <c r="C274" s="63">
        <f t="shared" si="62"/>
        <v>4.3887147335423196</v>
      </c>
      <c r="D274" s="62">
        <v>6</v>
      </c>
      <c r="E274" s="63">
        <f t="shared" si="63"/>
        <v>2.8301886792452833</v>
      </c>
      <c r="F274" s="62">
        <v>7</v>
      </c>
      <c r="G274" s="63">
        <f t="shared" si="64"/>
        <v>2.5362318840579712</v>
      </c>
      <c r="H274" s="62">
        <f t="shared" si="61"/>
        <v>27</v>
      </c>
      <c r="I274" s="63">
        <f t="shared" si="65"/>
        <v>3.3457249070631967</v>
      </c>
      <c r="K274" s="82"/>
      <c r="L274" s="82"/>
      <c r="M274" s="82"/>
      <c r="N274" s="82"/>
      <c r="O274" s="82"/>
    </row>
    <row r="275" spans="1:16" ht="16.5" customHeight="1" x14ac:dyDescent="0.25">
      <c r="A275" s="99" t="s">
        <v>84</v>
      </c>
      <c r="B275" s="98">
        <v>73</v>
      </c>
      <c r="C275" s="63">
        <f t="shared" si="62"/>
        <v>22.884012539184955</v>
      </c>
      <c r="D275" s="62">
        <v>50</v>
      </c>
      <c r="E275" s="63">
        <f t="shared" si="63"/>
        <v>23.584905660377359</v>
      </c>
      <c r="F275" s="62">
        <v>64</v>
      </c>
      <c r="G275" s="63">
        <f t="shared" si="64"/>
        <v>23.188405797101449</v>
      </c>
      <c r="H275" s="62">
        <f t="shared" si="61"/>
        <v>187</v>
      </c>
      <c r="I275" s="63">
        <f t="shared" si="65"/>
        <v>23.172242874845107</v>
      </c>
      <c r="K275" s="82" t="s">
        <v>305</v>
      </c>
    </row>
    <row r="276" spans="1:16" x14ac:dyDescent="0.25">
      <c r="A276" s="99" t="s">
        <v>73</v>
      </c>
      <c r="B276" s="98">
        <v>9</v>
      </c>
      <c r="C276" s="63">
        <f t="shared" si="62"/>
        <v>2.8213166144200628</v>
      </c>
      <c r="D276" s="62">
        <v>8</v>
      </c>
      <c r="E276" s="63">
        <f t="shared" si="63"/>
        <v>3.7735849056603774</v>
      </c>
      <c r="F276" s="62">
        <v>6</v>
      </c>
      <c r="G276" s="63">
        <f t="shared" si="64"/>
        <v>2.1739130434782608</v>
      </c>
      <c r="H276" s="62">
        <f t="shared" si="61"/>
        <v>23</v>
      </c>
      <c r="I276" s="63">
        <f t="shared" si="65"/>
        <v>2.8500619578686495</v>
      </c>
    </row>
    <row r="277" spans="1:16" x14ac:dyDescent="0.25">
      <c r="A277" s="100"/>
      <c r="B277" s="36"/>
      <c r="C277" s="37"/>
      <c r="D277" s="36"/>
      <c r="E277" s="37"/>
      <c r="F277" s="36"/>
      <c r="G277" s="37"/>
      <c r="H277" s="36"/>
      <c r="I277" s="37"/>
    </row>
    <row r="278" spans="1:16" x14ac:dyDescent="0.25">
      <c r="A278" s="96"/>
      <c r="B278" s="36"/>
      <c r="C278" s="37"/>
      <c r="D278" s="36"/>
      <c r="E278" s="37"/>
      <c r="F278" s="36"/>
      <c r="G278" s="37"/>
      <c r="H278" s="36"/>
      <c r="I278" s="37"/>
    </row>
    <row r="279" spans="1:16" x14ac:dyDescent="0.25">
      <c r="A279" s="29" t="s">
        <v>43</v>
      </c>
      <c r="B279" s="36"/>
      <c r="C279" s="37"/>
      <c r="D279" s="36"/>
      <c r="E279" s="37"/>
      <c r="F279" s="36"/>
      <c r="G279" s="37"/>
      <c r="H279" s="36"/>
      <c r="I279" s="37"/>
    </row>
    <row r="280" spans="1:16" x14ac:dyDescent="0.25">
      <c r="A280" s="29"/>
      <c r="B280" s="36"/>
      <c r="C280" s="37"/>
      <c r="D280" s="36"/>
      <c r="E280" s="37"/>
      <c r="F280" s="36"/>
      <c r="G280" s="37"/>
      <c r="H280" s="36"/>
      <c r="I280" s="37"/>
    </row>
    <row r="281" spans="1:16" x14ac:dyDescent="0.25">
      <c r="A281" s="29" t="s">
        <v>7</v>
      </c>
      <c r="B281" s="36"/>
      <c r="C281" s="37"/>
      <c r="D281" s="36"/>
      <c r="E281" s="37"/>
      <c r="F281" s="36"/>
      <c r="G281" s="37"/>
      <c r="H281" s="36"/>
      <c r="I281" s="37"/>
    </row>
    <row r="282" spans="1:16" ht="48.75" x14ac:dyDescent="0.25">
      <c r="A282" s="31"/>
      <c r="B282" s="115" t="s">
        <v>194</v>
      </c>
      <c r="C282" s="121" t="s">
        <v>197</v>
      </c>
      <c r="D282" s="121" t="s">
        <v>314</v>
      </c>
      <c r="E282" s="115" t="s">
        <v>195</v>
      </c>
      <c r="F282" s="115" t="s">
        <v>26</v>
      </c>
      <c r="G282" s="33" t="s">
        <v>10</v>
      </c>
      <c r="I282" s="37"/>
      <c r="J282" s="82"/>
      <c r="K282" s="82"/>
      <c r="L282" s="82"/>
      <c r="M282" s="82"/>
      <c r="N282" s="82"/>
      <c r="O282" s="82"/>
      <c r="P282" s="82"/>
    </row>
    <row r="283" spans="1:16" ht="30" x14ac:dyDescent="0.25">
      <c r="A283" s="116" t="s">
        <v>189</v>
      </c>
      <c r="B283" s="62">
        <v>227</v>
      </c>
      <c r="C283" s="77">
        <v>58</v>
      </c>
      <c r="D283" s="62">
        <v>8</v>
      </c>
      <c r="E283" s="77">
        <v>3</v>
      </c>
      <c r="F283" s="62">
        <v>4</v>
      </c>
      <c r="G283" s="62">
        <f ca="1">SUM(B283:G283)</f>
        <v>300</v>
      </c>
      <c r="I283" s="37"/>
    </row>
    <row r="284" spans="1:16" x14ac:dyDescent="0.25">
      <c r="A284" s="116" t="s">
        <v>190</v>
      </c>
      <c r="B284" s="62">
        <v>236</v>
      </c>
      <c r="C284" s="77">
        <v>38</v>
      </c>
      <c r="D284" s="62">
        <v>9</v>
      </c>
      <c r="E284" s="77">
        <v>3</v>
      </c>
      <c r="F284" s="62">
        <v>5</v>
      </c>
      <c r="G284" s="62">
        <f ca="1">SUM(B284:G284)</f>
        <v>291</v>
      </c>
      <c r="I284" s="37"/>
    </row>
    <row r="285" spans="1:16" ht="45" x14ac:dyDescent="0.25">
      <c r="A285" s="116" t="s">
        <v>191</v>
      </c>
      <c r="B285" s="62">
        <v>188</v>
      </c>
      <c r="C285" s="77">
        <v>56</v>
      </c>
      <c r="D285" s="62">
        <v>34</v>
      </c>
      <c r="E285" s="77">
        <v>6</v>
      </c>
      <c r="F285" s="62">
        <v>8</v>
      </c>
      <c r="G285" s="62">
        <f ca="1">SUM(B285:G285)</f>
        <v>292</v>
      </c>
      <c r="I285" s="37"/>
    </row>
    <row r="286" spans="1:16" ht="60" x14ac:dyDescent="0.25">
      <c r="A286" s="116" t="s">
        <v>192</v>
      </c>
      <c r="B286" s="62">
        <v>191</v>
      </c>
      <c r="C286" s="77">
        <v>61</v>
      </c>
      <c r="D286" s="62">
        <v>25</v>
      </c>
      <c r="E286" s="77">
        <v>8</v>
      </c>
      <c r="F286" s="62">
        <v>6</v>
      </c>
      <c r="G286" s="62">
        <f ca="1">SUM(B286:G286)</f>
        <v>291</v>
      </c>
      <c r="I286" s="37"/>
    </row>
    <row r="287" spans="1:16" ht="90" x14ac:dyDescent="0.25">
      <c r="A287" s="117" t="s">
        <v>193</v>
      </c>
      <c r="B287" s="62">
        <v>158</v>
      </c>
      <c r="C287" s="77">
        <v>57</v>
      </c>
      <c r="D287" s="62">
        <v>47</v>
      </c>
      <c r="E287" s="77">
        <v>13</v>
      </c>
      <c r="F287" s="62">
        <v>18</v>
      </c>
      <c r="G287" s="62">
        <f ca="1">SUM(B287:G287)</f>
        <v>293</v>
      </c>
      <c r="I287" s="37"/>
    </row>
    <row r="288" spans="1:16" x14ac:dyDescent="0.25">
      <c r="A288" s="32"/>
      <c r="B288" s="36"/>
      <c r="C288" s="37"/>
      <c r="D288" s="36"/>
      <c r="E288" s="37"/>
      <c r="F288" s="36"/>
      <c r="G288" s="37"/>
      <c r="H288" s="36"/>
      <c r="I288" s="37"/>
    </row>
    <row r="289" spans="1:9" x14ac:dyDescent="0.25">
      <c r="A289" s="29" t="s">
        <v>8</v>
      </c>
      <c r="B289" s="36"/>
      <c r="C289" s="37"/>
      <c r="D289" s="36"/>
      <c r="E289" s="37"/>
      <c r="F289" s="36"/>
      <c r="G289" s="37"/>
      <c r="H289" s="36"/>
      <c r="I289" s="37"/>
    </row>
    <row r="290" spans="1:9" ht="48.75" x14ac:dyDescent="0.25">
      <c r="A290" s="31"/>
      <c r="B290" s="115" t="s">
        <v>194</v>
      </c>
      <c r="C290" s="121" t="s">
        <v>197</v>
      </c>
      <c r="D290" s="121" t="s">
        <v>314</v>
      </c>
      <c r="E290" s="115" t="s">
        <v>195</v>
      </c>
      <c r="F290" s="115" t="s">
        <v>26</v>
      </c>
      <c r="G290" s="33" t="s">
        <v>10</v>
      </c>
      <c r="I290" s="37"/>
    </row>
    <row r="291" spans="1:9" ht="30" x14ac:dyDescent="0.25">
      <c r="A291" s="116" t="s">
        <v>189</v>
      </c>
      <c r="B291" s="62">
        <v>150</v>
      </c>
      <c r="C291" s="77">
        <v>29</v>
      </c>
      <c r="D291" s="62">
        <v>11</v>
      </c>
      <c r="E291" s="77">
        <v>3</v>
      </c>
      <c r="F291" s="62">
        <v>0</v>
      </c>
      <c r="G291" s="62">
        <f ca="1">SUM(B291:G291)</f>
        <v>193</v>
      </c>
      <c r="I291" s="37"/>
    </row>
    <row r="292" spans="1:9" x14ac:dyDescent="0.25">
      <c r="A292" s="116" t="s">
        <v>190</v>
      </c>
      <c r="B292" s="62">
        <v>147</v>
      </c>
      <c r="C292" s="77">
        <v>29</v>
      </c>
      <c r="D292" s="62">
        <v>10</v>
      </c>
      <c r="E292" s="77">
        <v>0</v>
      </c>
      <c r="F292" s="62">
        <v>2</v>
      </c>
      <c r="G292" s="62">
        <f ca="1">SUM(B292:G292)</f>
        <v>188</v>
      </c>
      <c r="I292" s="37"/>
    </row>
    <row r="293" spans="1:9" ht="45" x14ac:dyDescent="0.25">
      <c r="A293" s="116" t="s">
        <v>191</v>
      </c>
      <c r="B293" s="62">
        <v>123</v>
      </c>
      <c r="C293" s="77">
        <v>34</v>
      </c>
      <c r="D293" s="62">
        <v>25</v>
      </c>
      <c r="E293" s="77">
        <v>6</v>
      </c>
      <c r="F293" s="62">
        <v>3</v>
      </c>
      <c r="G293" s="62">
        <f ca="1">SUM(B293:G293)</f>
        <v>191</v>
      </c>
      <c r="I293" s="37"/>
    </row>
    <row r="294" spans="1:9" ht="60" x14ac:dyDescent="0.25">
      <c r="A294" s="116" t="s">
        <v>192</v>
      </c>
      <c r="B294" s="62">
        <v>133</v>
      </c>
      <c r="C294" s="77">
        <v>39</v>
      </c>
      <c r="D294" s="62">
        <v>12</v>
      </c>
      <c r="E294" s="77">
        <v>6</v>
      </c>
      <c r="F294" s="62">
        <v>2</v>
      </c>
      <c r="G294" s="62">
        <f ca="1">SUM(B294:G294)</f>
        <v>192</v>
      </c>
      <c r="I294" s="37"/>
    </row>
    <row r="295" spans="1:9" ht="90" x14ac:dyDescent="0.25">
      <c r="A295" s="117" t="s">
        <v>193</v>
      </c>
      <c r="B295" s="62">
        <v>115</v>
      </c>
      <c r="C295" s="77">
        <v>33</v>
      </c>
      <c r="D295" s="62">
        <v>24</v>
      </c>
      <c r="E295" s="77">
        <v>13</v>
      </c>
      <c r="F295" s="62">
        <v>4</v>
      </c>
      <c r="G295" s="62">
        <f ca="1">SUM(B295:G295)</f>
        <v>189</v>
      </c>
      <c r="I295" s="37"/>
    </row>
    <row r="296" spans="1:9" x14ac:dyDescent="0.25">
      <c r="A296" s="32"/>
      <c r="B296" s="36"/>
      <c r="C296" s="37"/>
      <c r="D296" s="36"/>
      <c r="E296" s="37"/>
      <c r="F296" s="36"/>
      <c r="G296" s="37"/>
      <c r="H296" s="36"/>
      <c r="I296" s="37"/>
    </row>
    <row r="297" spans="1:9" x14ac:dyDescent="0.25">
      <c r="A297" s="29" t="s">
        <v>9</v>
      </c>
      <c r="B297" s="36"/>
      <c r="C297" s="37"/>
      <c r="D297" s="36"/>
      <c r="E297" s="37"/>
      <c r="F297" s="36"/>
      <c r="G297" s="37"/>
      <c r="H297" s="36"/>
      <c r="I297" s="37"/>
    </row>
    <row r="298" spans="1:9" ht="48.75" x14ac:dyDescent="0.25">
      <c r="A298" s="31"/>
      <c r="B298" s="115" t="s">
        <v>194</v>
      </c>
      <c r="C298" s="121" t="s">
        <v>197</v>
      </c>
      <c r="D298" s="121" t="s">
        <v>314</v>
      </c>
      <c r="E298" s="115" t="s">
        <v>195</v>
      </c>
      <c r="F298" s="115" t="s">
        <v>26</v>
      </c>
      <c r="G298" s="33" t="s">
        <v>10</v>
      </c>
      <c r="I298" s="37"/>
    </row>
    <row r="299" spans="1:9" ht="30" x14ac:dyDescent="0.25">
      <c r="A299" s="116" t="s">
        <v>189</v>
      </c>
      <c r="B299" s="62">
        <v>194</v>
      </c>
      <c r="C299" s="77">
        <v>32</v>
      </c>
      <c r="D299" s="62">
        <v>12</v>
      </c>
      <c r="E299" s="77">
        <v>6</v>
      </c>
      <c r="F299" s="62">
        <v>10</v>
      </c>
      <c r="G299" s="62">
        <f ca="1">SUM(B299:G299)</f>
        <v>254</v>
      </c>
      <c r="I299" s="37"/>
    </row>
    <row r="300" spans="1:9" x14ac:dyDescent="0.25">
      <c r="A300" s="116" t="s">
        <v>190</v>
      </c>
      <c r="B300" s="62">
        <v>196</v>
      </c>
      <c r="C300" s="77">
        <v>31</v>
      </c>
      <c r="D300" s="62">
        <v>4</v>
      </c>
      <c r="E300" s="77">
        <v>1</v>
      </c>
      <c r="F300" s="62">
        <v>12</v>
      </c>
      <c r="G300" s="62">
        <f ca="1">SUM(B300:G300)</f>
        <v>244</v>
      </c>
      <c r="I300" s="37"/>
    </row>
    <row r="301" spans="1:9" ht="45" x14ac:dyDescent="0.25">
      <c r="A301" s="116" t="s">
        <v>191</v>
      </c>
      <c r="B301" s="62">
        <v>156</v>
      </c>
      <c r="C301" s="77">
        <v>37</v>
      </c>
      <c r="D301" s="62">
        <v>35</v>
      </c>
      <c r="E301" s="77">
        <v>9</v>
      </c>
      <c r="F301" s="62">
        <v>10</v>
      </c>
      <c r="G301" s="62">
        <f ca="1">SUM(B301:G301)</f>
        <v>247</v>
      </c>
      <c r="I301" s="37"/>
    </row>
    <row r="302" spans="1:9" ht="60" x14ac:dyDescent="0.25">
      <c r="A302" s="116" t="s">
        <v>192</v>
      </c>
      <c r="B302" s="62">
        <v>163</v>
      </c>
      <c r="C302" s="77">
        <v>40</v>
      </c>
      <c r="D302" s="62">
        <v>19</v>
      </c>
      <c r="E302" s="77">
        <v>6</v>
      </c>
      <c r="F302" s="62">
        <v>13</v>
      </c>
      <c r="G302" s="62">
        <f ca="1">SUM(B302:G302)</f>
        <v>241</v>
      </c>
      <c r="I302" s="37"/>
    </row>
    <row r="303" spans="1:9" ht="90" x14ac:dyDescent="0.25">
      <c r="A303" s="117" t="s">
        <v>193</v>
      </c>
      <c r="B303" s="62">
        <v>145</v>
      </c>
      <c r="C303" s="77">
        <v>37</v>
      </c>
      <c r="D303" s="62">
        <v>38</v>
      </c>
      <c r="E303" s="77">
        <v>7</v>
      </c>
      <c r="F303" s="62">
        <v>15</v>
      </c>
      <c r="G303" s="62">
        <f ca="1">SUM(B303:G303)</f>
        <v>242</v>
      </c>
      <c r="I303" s="37"/>
    </row>
    <row r="304" spans="1:9" x14ac:dyDescent="0.25">
      <c r="A304" s="32"/>
      <c r="B304" s="36"/>
      <c r="C304" s="37"/>
      <c r="D304" s="36"/>
      <c r="E304" s="37"/>
      <c r="F304" s="36"/>
      <c r="G304" s="37"/>
      <c r="H304" s="36"/>
      <c r="I304" s="37"/>
    </row>
    <row r="305" spans="1:9" x14ac:dyDescent="0.25">
      <c r="A305" s="29" t="s">
        <v>196</v>
      </c>
      <c r="B305" s="36"/>
      <c r="C305" s="37"/>
      <c r="D305" s="36"/>
      <c r="E305" s="37"/>
      <c r="F305" s="36"/>
      <c r="G305" s="37"/>
      <c r="H305" s="36"/>
      <c r="I305" s="37"/>
    </row>
    <row r="306" spans="1:9" x14ac:dyDescent="0.25">
      <c r="A306" s="32"/>
      <c r="B306" s="36"/>
      <c r="C306" s="37"/>
      <c r="D306" s="36"/>
      <c r="E306" s="37"/>
      <c r="F306" s="36"/>
      <c r="G306" s="37"/>
      <c r="H306" s="36"/>
      <c r="I306" s="37"/>
    </row>
    <row r="307" spans="1:9" ht="48.75" x14ac:dyDescent="0.25">
      <c r="A307" s="31"/>
      <c r="B307" s="115" t="s">
        <v>194</v>
      </c>
      <c r="C307" s="121" t="s">
        <v>197</v>
      </c>
      <c r="D307" s="121" t="s">
        <v>314</v>
      </c>
      <c r="E307" s="115" t="s">
        <v>195</v>
      </c>
      <c r="F307" s="115" t="s">
        <v>26</v>
      </c>
      <c r="G307" s="33" t="s">
        <v>10</v>
      </c>
      <c r="I307" s="37"/>
    </row>
    <row r="308" spans="1:9" ht="30" x14ac:dyDescent="0.25">
      <c r="A308" s="116" t="s">
        <v>189</v>
      </c>
      <c r="B308" s="62">
        <f>(B283+B291+B299)</f>
        <v>571</v>
      </c>
      <c r="C308" s="62">
        <f t="shared" ref="C308:F308" si="66">(C283+C291+C299)</f>
        <v>119</v>
      </c>
      <c r="D308" s="62">
        <f t="shared" si="66"/>
        <v>31</v>
      </c>
      <c r="E308" s="62">
        <f t="shared" si="66"/>
        <v>12</v>
      </c>
      <c r="F308" s="62">
        <f t="shared" si="66"/>
        <v>14</v>
      </c>
      <c r="G308" s="62">
        <f ca="1">(G283+G291+G299)</f>
        <v>747</v>
      </c>
      <c r="I308" s="37"/>
    </row>
    <row r="309" spans="1:9" x14ac:dyDescent="0.25">
      <c r="A309" s="116" t="s">
        <v>190</v>
      </c>
      <c r="B309" s="62">
        <f t="shared" ref="B309:F309" si="67">(B284+B292+B300)</f>
        <v>579</v>
      </c>
      <c r="C309" s="62">
        <f t="shared" si="67"/>
        <v>98</v>
      </c>
      <c r="D309" s="62">
        <f t="shared" si="67"/>
        <v>23</v>
      </c>
      <c r="E309" s="62">
        <f t="shared" si="67"/>
        <v>4</v>
      </c>
      <c r="F309" s="62">
        <f t="shared" si="67"/>
        <v>19</v>
      </c>
      <c r="G309" s="62">
        <f ca="1">(G284+G292+G300)</f>
        <v>723</v>
      </c>
      <c r="I309" s="37"/>
    </row>
    <row r="310" spans="1:9" ht="45" x14ac:dyDescent="0.25">
      <c r="A310" s="116" t="s">
        <v>191</v>
      </c>
      <c r="B310" s="62">
        <f t="shared" ref="B310:F310" si="68">(B285+B293+B301)</f>
        <v>467</v>
      </c>
      <c r="C310" s="62">
        <f t="shared" si="68"/>
        <v>127</v>
      </c>
      <c r="D310" s="62">
        <f t="shared" si="68"/>
        <v>94</v>
      </c>
      <c r="E310" s="62">
        <f t="shared" si="68"/>
        <v>21</v>
      </c>
      <c r="F310" s="62">
        <f t="shared" si="68"/>
        <v>21</v>
      </c>
      <c r="G310" s="62">
        <f ca="1">(G285+G293+G301)</f>
        <v>730</v>
      </c>
      <c r="I310" s="37"/>
    </row>
    <row r="311" spans="1:9" ht="60" x14ac:dyDescent="0.25">
      <c r="A311" s="116" t="s">
        <v>192</v>
      </c>
      <c r="B311" s="62">
        <f t="shared" ref="B311:F311" si="69">(B286+B294+B302)</f>
        <v>487</v>
      </c>
      <c r="C311" s="62">
        <f t="shared" si="69"/>
        <v>140</v>
      </c>
      <c r="D311" s="62">
        <f t="shared" si="69"/>
        <v>56</v>
      </c>
      <c r="E311" s="62">
        <f t="shared" si="69"/>
        <v>20</v>
      </c>
      <c r="F311" s="62">
        <f t="shared" si="69"/>
        <v>21</v>
      </c>
      <c r="G311" s="62">
        <f ca="1">(G286+G294+G302)</f>
        <v>724</v>
      </c>
      <c r="I311" s="37"/>
    </row>
    <row r="312" spans="1:9" ht="90" x14ac:dyDescent="0.25">
      <c r="A312" s="117" t="s">
        <v>193</v>
      </c>
      <c r="B312" s="62">
        <f t="shared" ref="B312:F312" si="70">(B287+B295+B303)</f>
        <v>418</v>
      </c>
      <c r="C312" s="62">
        <f t="shared" si="70"/>
        <v>127</v>
      </c>
      <c r="D312" s="62">
        <f t="shared" si="70"/>
        <v>109</v>
      </c>
      <c r="E312" s="62">
        <f t="shared" si="70"/>
        <v>33</v>
      </c>
      <c r="F312" s="62">
        <f t="shared" si="70"/>
        <v>37</v>
      </c>
      <c r="G312" s="62">
        <f ca="1">(G287+G295+G303)</f>
        <v>724</v>
      </c>
      <c r="I312" s="37"/>
    </row>
    <row r="313" spans="1:9" x14ac:dyDescent="0.25">
      <c r="A313" s="118"/>
      <c r="B313" s="36"/>
      <c r="C313" s="36"/>
      <c r="D313" s="36"/>
      <c r="E313" s="36"/>
      <c r="F313" s="36"/>
      <c r="G313" s="36"/>
      <c r="H313" s="36"/>
      <c r="I313" s="37"/>
    </row>
    <row r="314" spans="1:9" x14ac:dyDescent="0.25">
      <c r="A314" s="7" t="s">
        <v>44</v>
      </c>
      <c r="B314" s="7"/>
      <c r="C314" s="37"/>
      <c r="D314" s="36"/>
      <c r="E314" s="37"/>
      <c r="F314" s="36"/>
      <c r="G314" s="37"/>
      <c r="H314" s="36"/>
      <c r="I314" s="37"/>
    </row>
    <row r="315" spans="1:9" x14ac:dyDescent="0.25">
      <c r="A315" s="62"/>
      <c r="B315" s="62" t="s">
        <v>7</v>
      </c>
      <c r="C315" s="63"/>
      <c r="D315" s="62" t="s">
        <v>8</v>
      </c>
      <c r="E315" s="63"/>
      <c r="F315" s="62" t="s">
        <v>9</v>
      </c>
      <c r="G315" s="63"/>
      <c r="H315" s="62" t="s">
        <v>10</v>
      </c>
      <c r="I315" s="63"/>
    </row>
    <row r="316" spans="1:9" x14ac:dyDescent="0.25">
      <c r="A316" s="62"/>
      <c r="B316" s="62" t="s">
        <v>5</v>
      </c>
      <c r="C316" s="63" t="s">
        <v>6</v>
      </c>
      <c r="D316" s="62" t="s">
        <v>5</v>
      </c>
      <c r="E316" s="63" t="s">
        <v>6</v>
      </c>
      <c r="F316" s="62" t="s">
        <v>5</v>
      </c>
      <c r="G316" s="63" t="s">
        <v>6</v>
      </c>
      <c r="H316" s="62" t="s">
        <v>5</v>
      </c>
      <c r="I316" s="63" t="s">
        <v>6</v>
      </c>
    </row>
    <row r="317" spans="1:9" x14ac:dyDescent="0.25">
      <c r="A317" s="95" t="s">
        <v>85</v>
      </c>
      <c r="B317" s="98">
        <v>7</v>
      </c>
      <c r="C317" s="63">
        <f>(B317/319)*100</f>
        <v>2.1943573667711598</v>
      </c>
      <c r="D317" s="62">
        <v>8</v>
      </c>
      <c r="E317" s="63">
        <f>(D317/212)*100</f>
        <v>3.7735849056603774</v>
      </c>
      <c r="F317" s="62">
        <v>5</v>
      </c>
      <c r="G317" s="63">
        <f>(F317/276)*100</f>
        <v>1.8115942028985508</v>
      </c>
      <c r="H317" s="62">
        <f t="shared" ref="H317:H323" si="71">(B317+D317+F317)</f>
        <v>20</v>
      </c>
      <c r="I317" s="63">
        <f>(H317/807)*100</f>
        <v>2.4783147459727388</v>
      </c>
    </row>
    <row r="318" spans="1:9" ht="30" x14ac:dyDescent="0.25">
      <c r="A318" s="95" t="s">
        <v>86</v>
      </c>
      <c r="B318" s="98">
        <v>168</v>
      </c>
      <c r="C318" s="63">
        <f t="shared" ref="C318:C323" si="72">(B318/319)*100</f>
        <v>52.664576802507831</v>
      </c>
      <c r="D318" s="62">
        <v>106</v>
      </c>
      <c r="E318" s="63">
        <f t="shared" ref="E318:E323" si="73">(D318/212)*100</f>
        <v>50</v>
      </c>
      <c r="F318" s="62">
        <v>152</v>
      </c>
      <c r="G318" s="63">
        <f t="shared" ref="G318:G323" si="74">(F318/276)*100</f>
        <v>55.072463768115945</v>
      </c>
      <c r="H318" s="62">
        <f t="shared" si="71"/>
        <v>426</v>
      </c>
      <c r="I318" s="63">
        <f t="shared" ref="I318:I323" si="75">(H318/807)*100</f>
        <v>52.788104089219331</v>
      </c>
    </row>
    <row r="319" spans="1:9" x14ac:dyDescent="0.25">
      <c r="A319" s="95" t="s">
        <v>87</v>
      </c>
      <c r="B319" s="98">
        <v>23</v>
      </c>
      <c r="C319" s="63">
        <f t="shared" si="72"/>
        <v>7.2100313479623823</v>
      </c>
      <c r="D319" s="62">
        <v>19</v>
      </c>
      <c r="E319" s="63">
        <f t="shared" si="73"/>
        <v>8.9622641509433958</v>
      </c>
      <c r="F319" s="62">
        <v>18</v>
      </c>
      <c r="G319" s="63">
        <f t="shared" si="74"/>
        <v>6.5217391304347823</v>
      </c>
      <c r="H319" s="62">
        <f t="shared" si="71"/>
        <v>60</v>
      </c>
      <c r="I319" s="63">
        <f t="shared" si="75"/>
        <v>7.4349442379182156</v>
      </c>
    </row>
    <row r="320" spans="1:9" ht="30" x14ac:dyDescent="0.25">
      <c r="A320" s="95" t="s">
        <v>88</v>
      </c>
      <c r="B320" s="98">
        <v>105</v>
      </c>
      <c r="C320" s="63">
        <f t="shared" si="72"/>
        <v>32.915360501567399</v>
      </c>
      <c r="D320" s="62">
        <v>59</v>
      </c>
      <c r="E320" s="63">
        <f t="shared" si="73"/>
        <v>27.830188679245282</v>
      </c>
      <c r="F320" s="62">
        <v>91</v>
      </c>
      <c r="G320" s="63">
        <f t="shared" si="74"/>
        <v>32.971014492753625</v>
      </c>
      <c r="H320" s="62">
        <f t="shared" si="71"/>
        <v>255</v>
      </c>
      <c r="I320" s="63">
        <f t="shared" si="75"/>
        <v>31.59851301115242</v>
      </c>
    </row>
    <row r="321" spans="1:25" ht="30" x14ac:dyDescent="0.25">
      <c r="A321" s="95" t="s">
        <v>89</v>
      </c>
      <c r="B321" s="98">
        <v>8</v>
      </c>
      <c r="C321" s="63">
        <f t="shared" si="72"/>
        <v>2.507836990595611</v>
      </c>
      <c r="D321" s="62">
        <v>2</v>
      </c>
      <c r="E321" s="63">
        <f t="shared" si="73"/>
        <v>0.94339622641509435</v>
      </c>
      <c r="F321" s="62">
        <v>6</v>
      </c>
      <c r="G321" s="63">
        <f t="shared" si="74"/>
        <v>2.1739130434782608</v>
      </c>
      <c r="H321" s="62">
        <f t="shared" si="71"/>
        <v>16</v>
      </c>
      <c r="I321" s="63">
        <f t="shared" si="75"/>
        <v>1.9826517967781909</v>
      </c>
    </row>
    <row r="322" spans="1:25" ht="30" x14ac:dyDescent="0.25">
      <c r="A322" s="95" t="s">
        <v>90</v>
      </c>
      <c r="B322" s="98">
        <v>14</v>
      </c>
      <c r="C322" s="63">
        <f t="shared" si="72"/>
        <v>4.3887147335423196</v>
      </c>
      <c r="D322" s="62">
        <v>15</v>
      </c>
      <c r="E322" s="63">
        <f t="shared" si="73"/>
        <v>7.0754716981132075</v>
      </c>
      <c r="F322" s="62">
        <v>23</v>
      </c>
      <c r="G322" s="63">
        <f t="shared" si="74"/>
        <v>8.3333333333333321</v>
      </c>
      <c r="H322" s="62">
        <f t="shared" si="71"/>
        <v>52</v>
      </c>
      <c r="I322" s="63">
        <f t="shared" si="75"/>
        <v>6.4436183395291193</v>
      </c>
    </row>
    <row r="323" spans="1:25" x14ac:dyDescent="0.25">
      <c r="A323" s="95" t="s">
        <v>91</v>
      </c>
      <c r="B323" s="98">
        <v>58</v>
      </c>
      <c r="C323" s="63">
        <f t="shared" si="72"/>
        <v>18.181818181818183</v>
      </c>
      <c r="D323" s="62">
        <v>43</v>
      </c>
      <c r="E323" s="63">
        <f t="shared" si="73"/>
        <v>20.283018867924529</v>
      </c>
      <c r="F323" s="62">
        <v>34</v>
      </c>
      <c r="G323" s="63">
        <f t="shared" si="74"/>
        <v>12.318840579710146</v>
      </c>
      <c r="H323" s="62">
        <f t="shared" si="71"/>
        <v>135</v>
      </c>
      <c r="I323" s="63">
        <f t="shared" si="75"/>
        <v>16.728624535315987</v>
      </c>
      <c r="K323" s="82" t="s">
        <v>305</v>
      </c>
    </row>
    <row r="324" spans="1:25" x14ac:dyDescent="0.25">
      <c r="A324" s="96"/>
      <c r="B324" s="36"/>
      <c r="C324" s="37"/>
      <c r="D324" s="36"/>
      <c r="E324" s="37"/>
      <c r="F324" s="36"/>
      <c r="G324" s="37"/>
      <c r="H324" s="36"/>
      <c r="I324" s="37"/>
    </row>
    <row r="326" spans="1:25" x14ac:dyDescent="0.25">
      <c r="A326" s="1" t="s">
        <v>45</v>
      </c>
    </row>
    <row r="327" spans="1:25" x14ac:dyDescent="0.25">
      <c r="A327" s="1"/>
    </row>
    <row r="328" spans="1:25" x14ac:dyDescent="0.25">
      <c r="A328" s="62"/>
      <c r="B328" s="62" t="s">
        <v>7</v>
      </c>
      <c r="C328" s="63"/>
      <c r="D328" s="62" t="s">
        <v>8</v>
      </c>
      <c r="E328" s="63"/>
      <c r="F328" s="62" t="s">
        <v>9</v>
      </c>
      <c r="G328" s="63"/>
      <c r="H328" s="62" t="s">
        <v>10</v>
      </c>
      <c r="I328" s="63"/>
    </row>
    <row r="329" spans="1:25" x14ac:dyDescent="0.25">
      <c r="A329" s="62"/>
      <c r="B329" s="62" t="s">
        <v>5</v>
      </c>
      <c r="C329" s="63" t="s">
        <v>6</v>
      </c>
      <c r="D329" s="62" t="s">
        <v>5</v>
      </c>
      <c r="E329" s="63" t="s">
        <v>6</v>
      </c>
      <c r="F329" s="62" t="s">
        <v>5</v>
      </c>
      <c r="G329" s="63" t="s">
        <v>6</v>
      </c>
      <c r="H329" s="62" t="s">
        <v>5</v>
      </c>
      <c r="I329" s="63" t="s">
        <v>6</v>
      </c>
    </row>
    <row r="330" spans="1:25" x14ac:dyDescent="0.25">
      <c r="A330" s="95" t="s">
        <v>68</v>
      </c>
      <c r="B330" s="62">
        <v>269</v>
      </c>
      <c r="C330" s="63">
        <f>(B330/B334)*100</f>
        <v>87.055016181229774</v>
      </c>
      <c r="D330" s="62">
        <v>182</v>
      </c>
      <c r="E330" s="63">
        <f>(D330/D334)*100</f>
        <v>87.922705314009661</v>
      </c>
      <c r="F330" s="62">
        <v>242</v>
      </c>
      <c r="G330" s="63">
        <f>(F330/F334)*100</f>
        <v>93.798449612403104</v>
      </c>
      <c r="H330" s="62">
        <f t="shared" ref="H330:H334" si="76">(B330+D330+F330)</f>
        <v>693</v>
      </c>
      <c r="I330" s="63">
        <f>(H330/H334)*100</f>
        <v>89.534883720930239</v>
      </c>
    </row>
    <row r="331" spans="1:25" ht="30" x14ac:dyDescent="0.25">
      <c r="A331" s="95" t="s">
        <v>69</v>
      </c>
      <c r="B331" s="62">
        <v>36</v>
      </c>
      <c r="C331" s="63">
        <f>(B331/B334)*100</f>
        <v>11.650485436893204</v>
      </c>
      <c r="D331" s="62">
        <v>22</v>
      </c>
      <c r="E331" s="63">
        <f>(D331/D334)*100</f>
        <v>10.628019323671497</v>
      </c>
      <c r="F331" s="62">
        <v>15</v>
      </c>
      <c r="G331" s="63">
        <f>(F331/F334)*100</f>
        <v>5.8139534883720927</v>
      </c>
      <c r="H331" s="62">
        <f t="shared" si="76"/>
        <v>73</v>
      </c>
      <c r="I331" s="63">
        <f>(H331/H334)*100</f>
        <v>9.4315245478036172</v>
      </c>
    </row>
    <row r="332" spans="1:25" ht="30" x14ac:dyDescent="0.25">
      <c r="A332" s="95" t="s">
        <v>70</v>
      </c>
      <c r="B332" s="62">
        <v>0</v>
      </c>
      <c r="C332" s="63">
        <f>(B332/B334)*100</f>
        <v>0</v>
      </c>
      <c r="D332" s="62">
        <v>1</v>
      </c>
      <c r="E332" s="63">
        <f>(D332/D334)*100</f>
        <v>0.48309178743961351</v>
      </c>
      <c r="F332" s="62">
        <v>1</v>
      </c>
      <c r="G332" s="63">
        <f>(F332/F334)*100</f>
        <v>0.38759689922480622</v>
      </c>
      <c r="H332" s="62">
        <f>(B332+D332+F332)</f>
        <v>2</v>
      </c>
      <c r="I332" s="63">
        <f>(H332/H334)*100</f>
        <v>0.2583979328165375</v>
      </c>
    </row>
    <row r="333" spans="1:25" x14ac:dyDescent="0.25">
      <c r="A333" s="95" t="s">
        <v>26</v>
      </c>
      <c r="B333" s="62">
        <v>4</v>
      </c>
      <c r="C333" s="63">
        <f>(B333/B334)*100</f>
        <v>1.2944983818770228</v>
      </c>
      <c r="D333" s="62">
        <v>2</v>
      </c>
      <c r="E333" s="63">
        <f>(D333/D334)*100</f>
        <v>0.96618357487922701</v>
      </c>
      <c r="F333" s="62">
        <v>0</v>
      </c>
      <c r="G333" s="63">
        <f>(F333/F334)*100</f>
        <v>0</v>
      </c>
      <c r="H333" s="62">
        <f t="shared" si="76"/>
        <v>6</v>
      </c>
      <c r="I333" s="63">
        <f>(H333/H334)*100</f>
        <v>0.77519379844961245</v>
      </c>
    </row>
    <row r="334" spans="1:25" x14ac:dyDescent="0.25">
      <c r="A334" s="95" t="s">
        <v>10</v>
      </c>
      <c r="B334" s="62">
        <f t="shared" ref="B334:I334" si="77">SUM(B330:B333)</f>
        <v>309</v>
      </c>
      <c r="C334" s="63">
        <f t="shared" si="77"/>
        <v>100</v>
      </c>
      <c r="D334" s="62">
        <f t="shared" si="77"/>
        <v>207</v>
      </c>
      <c r="E334" s="63">
        <f t="shared" si="77"/>
        <v>100</v>
      </c>
      <c r="F334" s="62">
        <f t="shared" si="77"/>
        <v>258</v>
      </c>
      <c r="G334" s="63">
        <f t="shared" si="77"/>
        <v>100</v>
      </c>
      <c r="H334" s="62">
        <f t="shared" si="76"/>
        <v>774</v>
      </c>
      <c r="I334" s="63">
        <f t="shared" si="77"/>
        <v>100</v>
      </c>
    </row>
    <row r="336" spans="1:25" s="26" customFormat="1" x14ac:dyDescent="0.25">
      <c r="A336" s="29" t="s">
        <v>266</v>
      </c>
      <c r="B336" s="82"/>
      <c r="C336" s="101"/>
      <c r="D336" s="82"/>
      <c r="E336" s="101"/>
      <c r="F336" s="82"/>
      <c r="G336" s="101"/>
      <c r="H336" s="82"/>
      <c r="I336" s="101"/>
      <c r="J336" s="82"/>
      <c r="K336" s="82"/>
      <c r="L336" s="82"/>
      <c r="M336" s="82"/>
      <c r="N336" s="82"/>
      <c r="O336" s="82"/>
      <c r="P336" s="82"/>
      <c r="Q336" s="82"/>
      <c r="R336" s="82"/>
      <c r="S336" s="82"/>
      <c r="T336" s="82"/>
      <c r="U336" s="82"/>
      <c r="V336" s="82"/>
      <c r="W336" s="82"/>
      <c r="X336" s="82"/>
      <c r="Y336" s="82"/>
    </row>
    <row r="337" spans="1:25" s="26" customFormat="1" x14ac:dyDescent="0.25">
      <c r="A337" s="29"/>
      <c r="B337" s="82"/>
      <c r="C337" s="101"/>
      <c r="D337" s="82"/>
      <c r="E337" s="101"/>
      <c r="F337" s="82"/>
      <c r="G337" s="101"/>
      <c r="H337" s="82"/>
      <c r="I337" s="101"/>
      <c r="J337" s="82"/>
      <c r="K337" s="82"/>
      <c r="L337" s="82"/>
      <c r="M337" s="82"/>
      <c r="N337" s="82"/>
      <c r="O337" s="82"/>
      <c r="P337" s="82"/>
      <c r="Q337" s="82"/>
      <c r="R337" s="82"/>
      <c r="S337" s="82"/>
      <c r="T337" s="82"/>
      <c r="U337" s="82"/>
      <c r="V337" s="82"/>
      <c r="W337" s="82"/>
      <c r="X337" s="82"/>
      <c r="Y337" s="82"/>
    </row>
    <row r="338" spans="1:25" s="26" customFormat="1" ht="17.25" x14ac:dyDescent="0.25">
      <c r="A338" s="64"/>
      <c r="B338" s="62" t="s">
        <v>315</v>
      </c>
      <c r="C338" s="101"/>
      <c r="D338" s="82"/>
      <c r="E338" s="101"/>
      <c r="F338" s="82"/>
      <c r="G338" s="101"/>
      <c r="H338" s="82"/>
      <c r="I338" s="101"/>
      <c r="J338" s="82"/>
      <c r="K338" s="82"/>
      <c r="L338" s="82"/>
      <c r="M338" s="82"/>
      <c r="N338" s="82"/>
      <c r="O338" s="82"/>
      <c r="P338" s="82"/>
      <c r="Q338" s="82"/>
      <c r="R338" s="82"/>
      <c r="S338" s="82"/>
      <c r="T338" s="82"/>
      <c r="U338" s="82"/>
      <c r="V338" s="82"/>
      <c r="W338" s="82"/>
      <c r="X338" s="82"/>
      <c r="Y338" s="82"/>
    </row>
    <row r="339" spans="1:25" s="26" customFormat="1" x14ac:dyDescent="0.25">
      <c r="A339" s="64" t="s">
        <v>7</v>
      </c>
      <c r="B339" s="62">
        <v>1.921</v>
      </c>
      <c r="C339" s="101"/>
      <c r="D339" s="82"/>
      <c r="E339" s="101"/>
      <c r="F339" s="82"/>
      <c r="G339" s="101"/>
      <c r="H339" s="82"/>
      <c r="I339" s="101"/>
      <c r="J339" s="82"/>
      <c r="K339" s="82"/>
      <c r="L339" s="82"/>
      <c r="M339" s="82"/>
      <c r="N339" s="82"/>
      <c r="O339" s="82"/>
      <c r="P339" s="82"/>
      <c r="Q339" s="82"/>
      <c r="R339" s="82"/>
      <c r="S339" s="82"/>
      <c r="T339" s="82"/>
      <c r="U339" s="82"/>
      <c r="V339" s="82"/>
      <c r="W339" s="82"/>
      <c r="X339" s="82"/>
      <c r="Y339" s="82"/>
    </row>
    <row r="340" spans="1:25" s="26" customFormat="1" x14ac:dyDescent="0.25">
      <c r="A340" s="64" t="s">
        <v>8</v>
      </c>
      <c r="B340" s="62">
        <v>1.677</v>
      </c>
      <c r="C340" s="101"/>
      <c r="D340" s="82"/>
      <c r="E340" s="101"/>
      <c r="F340" s="82"/>
      <c r="G340" s="101"/>
      <c r="H340" s="82"/>
      <c r="I340" s="101"/>
      <c r="J340" s="82"/>
      <c r="K340" s="82"/>
      <c r="L340" s="82"/>
      <c r="M340" s="82"/>
      <c r="N340" s="82"/>
      <c r="O340" s="82"/>
      <c r="P340" s="82"/>
      <c r="Q340" s="82"/>
      <c r="R340" s="82"/>
      <c r="S340" s="82"/>
      <c r="T340" s="82"/>
      <c r="U340" s="82"/>
      <c r="V340" s="82"/>
      <c r="W340" s="82"/>
      <c r="X340" s="82"/>
      <c r="Y340" s="82"/>
    </row>
    <row r="341" spans="1:25" s="26" customFormat="1" x14ac:dyDescent="0.25">
      <c r="A341" s="64" t="s">
        <v>9</v>
      </c>
      <c r="B341" s="62">
        <v>1.647</v>
      </c>
      <c r="C341" s="101"/>
      <c r="D341" s="82"/>
      <c r="E341" s="101"/>
      <c r="F341" s="82"/>
      <c r="G341" s="101"/>
      <c r="H341" s="82"/>
      <c r="I341" s="101"/>
      <c r="J341" s="82"/>
      <c r="K341" s="82"/>
      <c r="L341" s="82"/>
      <c r="M341" s="82"/>
      <c r="N341" s="82"/>
      <c r="O341" s="82"/>
      <c r="P341" s="82"/>
      <c r="Q341" s="82"/>
      <c r="R341" s="82"/>
      <c r="S341" s="82"/>
      <c r="T341" s="82"/>
      <c r="U341" s="82"/>
      <c r="V341" s="82"/>
      <c r="W341" s="82"/>
      <c r="X341" s="82"/>
      <c r="Y341" s="82"/>
    </row>
    <row r="342" spans="1:25" s="26" customFormat="1" x14ac:dyDescent="0.25">
      <c r="A342" s="12" t="s">
        <v>292</v>
      </c>
      <c r="B342" s="12" t="s">
        <v>291</v>
      </c>
      <c r="C342" s="101"/>
      <c r="D342" s="82"/>
      <c r="E342" s="101"/>
      <c r="F342" s="82"/>
      <c r="G342" s="101"/>
      <c r="H342" s="82"/>
      <c r="I342" s="101"/>
      <c r="J342" s="82"/>
      <c r="K342" s="82"/>
      <c r="L342" s="82"/>
      <c r="M342" s="82"/>
      <c r="N342" s="82"/>
      <c r="O342" s="82"/>
      <c r="P342" s="82"/>
      <c r="Q342" s="82"/>
      <c r="R342" s="82"/>
      <c r="S342" s="82"/>
      <c r="T342" s="82"/>
      <c r="U342" s="82"/>
      <c r="V342" s="82"/>
      <c r="W342" s="82"/>
      <c r="X342" s="82"/>
      <c r="Y342" s="82"/>
    </row>
    <row r="344" spans="1:25" x14ac:dyDescent="0.25">
      <c r="A344" s="55" t="s">
        <v>71</v>
      </c>
      <c r="B344" s="102"/>
      <c r="C344" s="102"/>
      <c r="D344" s="102"/>
      <c r="E344" s="102"/>
    </row>
    <row r="345" spans="1:25" x14ac:dyDescent="0.25">
      <c r="A345" s="45"/>
      <c r="B345" s="103"/>
      <c r="C345" s="103"/>
      <c r="D345" s="103"/>
      <c r="E345" s="103"/>
    </row>
    <row r="346" spans="1:25" x14ac:dyDescent="0.25">
      <c r="A346" s="62"/>
      <c r="B346" s="62" t="s">
        <v>7</v>
      </c>
      <c r="C346" s="63"/>
      <c r="D346" s="62" t="s">
        <v>8</v>
      </c>
      <c r="E346" s="63"/>
      <c r="F346" s="62" t="s">
        <v>9</v>
      </c>
      <c r="G346" s="63"/>
      <c r="H346" s="62" t="s">
        <v>10</v>
      </c>
      <c r="I346" s="63"/>
    </row>
    <row r="347" spans="1:25" x14ac:dyDescent="0.25">
      <c r="A347" s="62"/>
      <c r="B347" s="62" t="s">
        <v>5</v>
      </c>
      <c r="C347" s="63" t="s">
        <v>6</v>
      </c>
      <c r="D347" s="62" t="s">
        <v>5</v>
      </c>
      <c r="E347" s="63" t="s">
        <v>6</v>
      </c>
      <c r="F347" s="62" t="s">
        <v>5</v>
      </c>
      <c r="G347" s="63" t="s">
        <v>6</v>
      </c>
      <c r="H347" s="62" t="s">
        <v>5</v>
      </c>
      <c r="I347" s="63" t="s">
        <v>6</v>
      </c>
    </row>
    <row r="348" spans="1:25" ht="30" x14ac:dyDescent="0.25">
      <c r="A348" s="95" t="s">
        <v>92</v>
      </c>
      <c r="B348" s="98">
        <v>51</v>
      </c>
      <c r="C348" s="63">
        <f>(B348/319)*100</f>
        <v>15.987460815047022</v>
      </c>
      <c r="D348" s="62">
        <v>29</v>
      </c>
      <c r="E348" s="63">
        <f>(D348/212)*100</f>
        <v>13.679245283018867</v>
      </c>
      <c r="F348" s="62">
        <v>39</v>
      </c>
      <c r="G348" s="63">
        <f>(F348/276)*100</f>
        <v>14.130434782608695</v>
      </c>
      <c r="H348" s="62">
        <f t="shared" ref="H348:H355" si="78">(B348+D348+F348)</f>
        <v>119</v>
      </c>
      <c r="I348" s="63">
        <f>(H348/807)*100</f>
        <v>14.745972738537795</v>
      </c>
    </row>
    <row r="349" spans="1:25" ht="30" x14ac:dyDescent="0.25">
      <c r="A349" s="95" t="s">
        <v>93</v>
      </c>
      <c r="B349" s="98">
        <v>205</v>
      </c>
      <c r="C349" s="63">
        <f t="shared" ref="C349:C355" si="79">(B349/319)*100</f>
        <v>64.263322884012538</v>
      </c>
      <c r="D349" s="62">
        <v>122</v>
      </c>
      <c r="E349" s="63">
        <f t="shared" ref="E349:E355" si="80">(D349/212)*100</f>
        <v>57.547169811320757</v>
      </c>
      <c r="F349" s="62">
        <v>164</v>
      </c>
      <c r="G349" s="63">
        <f t="shared" ref="G349:G355" si="81">(F349/276)*100</f>
        <v>59.420289855072461</v>
      </c>
      <c r="H349" s="62">
        <f t="shared" si="78"/>
        <v>491</v>
      </c>
      <c r="I349" s="63">
        <f t="shared" ref="I349:I355" si="82">(H349/807)*100</f>
        <v>60.842627013630732</v>
      </c>
    </row>
    <row r="350" spans="1:25" x14ac:dyDescent="0.25">
      <c r="A350" s="95" t="s">
        <v>316</v>
      </c>
      <c r="B350" s="98">
        <v>122</v>
      </c>
      <c r="C350" s="63">
        <f t="shared" si="79"/>
        <v>38.244514106583068</v>
      </c>
      <c r="D350" s="62">
        <v>89</v>
      </c>
      <c r="E350" s="63">
        <f t="shared" si="80"/>
        <v>41.981132075471699</v>
      </c>
      <c r="F350" s="62">
        <v>100</v>
      </c>
      <c r="G350" s="63">
        <f t="shared" si="81"/>
        <v>36.231884057971016</v>
      </c>
      <c r="H350" s="62">
        <f t="shared" si="78"/>
        <v>311</v>
      </c>
      <c r="I350" s="63">
        <f t="shared" si="82"/>
        <v>38.537794299876083</v>
      </c>
    </row>
    <row r="351" spans="1:25" ht="30" x14ac:dyDescent="0.25">
      <c r="A351" s="95" t="s">
        <v>94</v>
      </c>
      <c r="B351" s="98">
        <v>50</v>
      </c>
      <c r="C351" s="63">
        <f t="shared" si="79"/>
        <v>15.673981191222571</v>
      </c>
      <c r="D351" s="62">
        <v>45</v>
      </c>
      <c r="E351" s="63">
        <f t="shared" si="80"/>
        <v>21.226415094339622</v>
      </c>
      <c r="F351" s="62">
        <v>54</v>
      </c>
      <c r="G351" s="63">
        <f t="shared" si="81"/>
        <v>19.565217391304348</v>
      </c>
      <c r="H351" s="62">
        <f t="shared" si="78"/>
        <v>149</v>
      </c>
      <c r="I351" s="63">
        <f t="shared" si="82"/>
        <v>18.463444857496903</v>
      </c>
    </row>
    <row r="352" spans="1:25" x14ac:dyDescent="0.25">
      <c r="A352" s="95" t="s">
        <v>95</v>
      </c>
      <c r="B352" s="98">
        <v>62</v>
      </c>
      <c r="C352" s="63">
        <f t="shared" si="79"/>
        <v>19.435736677115987</v>
      </c>
      <c r="D352" s="62">
        <v>36</v>
      </c>
      <c r="E352" s="63">
        <f t="shared" si="80"/>
        <v>16.981132075471699</v>
      </c>
      <c r="F352" s="62">
        <v>46</v>
      </c>
      <c r="G352" s="63">
        <f t="shared" si="81"/>
        <v>16.666666666666664</v>
      </c>
      <c r="H352" s="62">
        <f t="shared" si="78"/>
        <v>144</v>
      </c>
      <c r="I352" s="63">
        <f t="shared" si="82"/>
        <v>17.843866171003718</v>
      </c>
    </row>
    <row r="353" spans="1:11" x14ac:dyDescent="0.25">
      <c r="A353" s="95" t="s">
        <v>96</v>
      </c>
      <c r="B353" s="98">
        <v>44</v>
      </c>
      <c r="C353" s="63">
        <f t="shared" si="79"/>
        <v>13.793103448275861</v>
      </c>
      <c r="D353" s="62">
        <v>45</v>
      </c>
      <c r="E353" s="63">
        <f t="shared" si="80"/>
        <v>21.226415094339622</v>
      </c>
      <c r="F353" s="62">
        <v>31</v>
      </c>
      <c r="G353" s="63">
        <f t="shared" si="81"/>
        <v>11.231884057971014</v>
      </c>
      <c r="H353" s="62">
        <f t="shared" si="78"/>
        <v>120</v>
      </c>
      <c r="I353" s="63">
        <f t="shared" si="82"/>
        <v>14.869888475836431</v>
      </c>
      <c r="K353" s="82" t="s">
        <v>305</v>
      </c>
    </row>
    <row r="354" spans="1:11" x14ac:dyDescent="0.25">
      <c r="A354" s="95" t="s">
        <v>97</v>
      </c>
      <c r="B354" s="98">
        <v>116</v>
      </c>
      <c r="C354" s="63">
        <f t="shared" si="79"/>
        <v>36.363636363636367</v>
      </c>
      <c r="D354" s="62">
        <v>76</v>
      </c>
      <c r="E354" s="63">
        <f t="shared" si="80"/>
        <v>35.849056603773583</v>
      </c>
      <c r="F354" s="62">
        <v>98</v>
      </c>
      <c r="G354" s="63">
        <f t="shared" si="81"/>
        <v>35.507246376811594</v>
      </c>
      <c r="H354" s="62">
        <f t="shared" si="78"/>
        <v>290</v>
      </c>
      <c r="I354" s="63">
        <f t="shared" si="82"/>
        <v>35.935563816604713</v>
      </c>
    </row>
    <row r="355" spans="1:11" x14ac:dyDescent="0.25">
      <c r="A355" s="95" t="s">
        <v>73</v>
      </c>
      <c r="B355" s="98">
        <v>20</v>
      </c>
      <c r="C355" s="63">
        <f t="shared" si="79"/>
        <v>6.2695924764890272</v>
      </c>
      <c r="D355" s="62">
        <v>10</v>
      </c>
      <c r="E355" s="63">
        <f t="shared" si="80"/>
        <v>4.716981132075472</v>
      </c>
      <c r="F355" s="62">
        <v>16</v>
      </c>
      <c r="G355" s="63">
        <f t="shared" si="81"/>
        <v>5.7971014492753623</v>
      </c>
      <c r="H355" s="62">
        <f t="shared" si="78"/>
        <v>46</v>
      </c>
      <c r="I355" s="63">
        <f t="shared" si="82"/>
        <v>5.7001239157372989</v>
      </c>
    </row>
    <row r="356" spans="1:11" x14ac:dyDescent="0.25">
      <c r="A356" s="96"/>
      <c r="B356" s="36"/>
      <c r="C356" s="37"/>
      <c r="D356" s="36"/>
      <c r="E356" s="37"/>
      <c r="F356" s="36"/>
      <c r="G356" s="37"/>
      <c r="H356" s="36"/>
      <c r="I356" s="37"/>
    </row>
    <row r="357" spans="1:11" ht="19.5" customHeight="1" x14ac:dyDescent="0.25">
      <c r="A357" s="96"/>
      <c r="B357" s="36"/>
      <c r="C357" s="37"/>
      <c r="D357" s="36"/>
      <c r="E357" s="37"/>
      <c r="F357" s="36"/>
      <c r="G357" s="37"/>
      <c r="H357" s="36"/>
      <c r="I357" s="37"/>
    </row>
    <row r="358" spans="1:11" x14ac:dyDescent="0.25">
      <c r="A358" s="48" t="s">
        <v>290</v>
      </c>
      <c r="B358" s="104"/>
      <c r="C358" s="104"/>
      <c r="D358" s="36"/>
      <c r="E358" s="37"/>
      <c r="F358" s="36"/>
      <c r="G358" s="37"/>
      <c r="H358" s="36"/>
      <c r="I358" s="37"/>
    </row>
    <row r="359" spans="1:11" x14ac:dyDescent="0.25">
      <c r="A359" s="32"/>
      <c r="B359" s="36"/>
      <c r="C359" s="37"/>
      <c r="D359" s="36"/>
      <c r="E359" s="37"/>
      <c r="F359" s="36"/>
      <c r="G359" s="37"/>
      <c r="H359" s="36"/>
      <c r="I359" s="37"/>
    </row>
    <row r="360" spans="1:11" x14ac:dyDescent="0.25">
      <c r="A360" s="41" t="s">
        <v>283</v>
      </c>
      <c r="B360" s="36"/>
      <c r="C360" s="37"/>
      <c r="D360" s="36"/>
      <c r="E360" s="37"/>
      <c r="F360" s="36"/>
      <c r="G360" s="37"/>
      <c r="H360" s="36"/>
      <c r="I360" s="37"/>
    </row>
    <row r="361" spans="1:11" x14ac:dyDescent="0.25">
      <c r="A361" s="32"/>
      <c r="B361" s="36"/>
      <c r="C361" s="37"/>
      <c r="D361" s="36"/>
      <c r="E361" s="37"/>
      <c r="F361" s="36"/>
      <c r="G361" s="37"/>
      <c r="H361" s="36"/>
      <c r="I361" s="37"/>
    </row>
    <row r="362" spans="1:11" x14ac:dyDescent="0.25">
      <c r="A362" s="29" t="s">
        <v>208</v>
      </c>
      <c r="B362" s="36"/>
      <c r="C362" s="37"/>
      <c r="D362" s="36"/>
      <c r="E362" s="37"/>
      <c r="F362" s="36"/>
      <c r="G362" s="37"/>
      <c r="H362" s="36"/>
      <c r="I362" s="37"/>
    </row>
    <row r="363" spans="1:11" x14ac:dyDescent="0.25">
      <c r="A363" s="32"/>
      <c r="B363" s="36"/>
      <c r="C363" s="37"/>
      <c r="D363" s="36"/>
      <c r="E363" s="37"/>
      <c r="F363" s="36"/>
      <c r="G363" s="37"/>
      <c r="H363" s="36"/>
      <c r="I363" s="37"/>
    </row>
    <row r="364" spans="1:11" x14ac:dyDescent="0.25">
      <c r="A364" s="62"/>
      <c r="B364" s="62" t="s">
        <v>7</v>
      </c>
      <c r="C364" s="63"/>
      <c r="D364" s="62" t="s">
        <v>8</v>
      </c>
      <c r="E364" s="63"/>
      <c r="F364" s="62" t="s">
        <v>9</v>
      </c>
      <c r="G364" s="63"/>
      <c r="H364" s="62" t="s">
        <v>10</v>
      </c>
      <c r="I364" s="63"/>
    </row>
    <row r="365" spans="1:11" ht="30" x14ac:dyDescent="0.25">
      <c r="A365" s="31"/>
      <c r="B365" s="95" t="s">
        <v>198</v>
      </c>
      <c r="C365" s="105" t="s">
        <v>199</v>
      </c>
      <c r="D365" s="95" t="s">
        <v>198</v>
      </c>
      <c r="E365" s="105" t="s">
        <v>199</v>
      </c>
      <c r="F365" s="95" t="s">
        <v>198</v>
      </c>
      <c r="G365" s="105" t="s">
        <v>199</v>
      </c>
      <c r="H365" s="95" t="s">
        <v>198</v>
      </c>
      <c r="I365" s="105" t="s">
        <v>199</v>
      </c>
    </row>
    <row r="366" spans="1:11" ht="30" x14ac:dyDescent="0.25">
      <c r="A366" s="116" t="s">
        <v>200</v>
      </c>
      <c r="B366" s="119">
        <v>14</v>
      </c>
      <c r="C366" s="119">
        <v>5</v>
      </c>
      <c r="D366" s="119">
        <v>10</v>
      </c>
      <c r="E366" s="119">
        <v>3</v>
      </c>
      <c r="F366" s="119">
        <v>12</v>
      </c>
      <c r="G366" s="119">
        <v>4</v>
      </c>
      <c r="H366" s="119">
        <f>(B366+D366+F366)</f>
        <v>36</v>
      </c>
      <c r="I366" s="119">
        <f>(C366+E366+G366)</f>
        <v>12</v>
      </c>
    </row>
    <row r="367" spans="1:11" x14ac:dyDescent="0.25">
      <c r="A367" s="116" t="s">
        <v>201</v>
      </c>
      <c r="B367" s="34">
        <v>187</v>
      </c>
      <c r="C367" s="119">
        <v>61</v>
      </c>
      <c r="D367" s="119">
        <v>104</v>
      </c>
      <c r="E367" s="119">
        <v>26</v>
      </c>
      <c r="F367" s="119">
        <v>169</v>
      </c>
      <c r="G367" s="119">
        <v>31</v>
      </c>
      <c r="H367" s="119">
        <f t="shared" ref="H367:H373" si="83">(B367+D367+F367)</f>
        <v>460</v>
      </c>
      <c r="I367" s="119">
        <f t="shared" ref="I367:I373" si="84">(C367+E367+G367)</f>
        <v>118</v>
      </c>
    </row>
    <row r="368" spans="1:11" ht="30" x14ac:dyDescent="0.25">
      <c r="A368" s="116" t="s">
        <v>202</v>
      </c>
      <c r="B368" s="119">
        <v>5</v>
      </c>
      <c r="C368" s="35">
        <v>4</v>
      </c>
      <c r="D368" s="119">
        <v>3</v>
      </c>
      <c r="E368" s="119">
        <v>1</v>
      </c>
      <c r="F368" s="119">
        <v>6</v>
      </c>
      <c r="G368" s="119">
        <v>2</v>
      </c>
      <c r="H368" s="119">
        <f t="shared" si="83"/>
        <v>14</v>
      </c>
      <c r="I368" s="119">
        <f t="shared" si="84"/>
        <v>7</v>
      </c>
    </row>
    <row r="369" spans="1:9" ht="30" x14ac:dyDescent="0.25">
      <c r="A369" s="116" t="s">
        <v>203</v>
      </c>
      <c r="B369" s="119">
        <v>11</v>
      </c>
      <c r="C369" s="119">
        <v>7</v>
      </c>
      <c r="D369" s="34">
        <v>6</v>
      </c>
      <c r="E369" s="119">
        <v>4</v>
      </c>
      <c r="F369" s="119">
        <v>10</v>
      </c>
      <c r="G369" s="119">
        <v>4</v>
      </c>
      <c r="H369" s="119">
        <f t="shared" si="83"/>
        <v>27</v>
      </c>
      <c r="I369" s="119">
        <f t="shared" si="84"/>
        <v>15</v>
      </c>
    </row>
    <row r="370" spans="1:9" x14ac:dyDescent="0.25">
      <c r="A370" s="116" t="s">
        <v>204</v>
      </c>
      <c r="B370" s="119">
        <v>126</v>
      </c>
      <c r="C370" s="119">
        <v>60</v>
      </c>
      <c r="D370" s="119">
        <v>80</v>
      </c>
      <c r="E370" s="35">
        <v>1</v>
      </c>
      <c r="F370" s="119">
        <v>91</v>
      </c>
      <c r="G370" s="119">
        <v>32</v>
      </c>
      <c r="H370" s="119">
        <f t="shared" si="83"/>
        <v>297</v>
      </c>
      <c r="I370" s="119">
        <f t="shared" si="84"/>
        <v>93</v>
      </c>
    </row>
    <row r="371" spans="1:9" x14ac:dyDescent="0.25">
      <c r="A371" s="116" t="s">
        <v>205</v>
      </c>
      <c r="B371" s="119">
        <v>41</v>
      </c>
      <c r="C371" s="119">
        <v>29</v>
      </c>
      <c r="D371" s="119">
        <v>27</v>
      </c>
      <c r="E371" s="119">
        <v>13</v>
      </c>
      <c r="F371" s="34">
        <v>36</v>
      </c>
      <c r="G371" s="119">
        <v>16</v>
      </c>
      <c r="H371" s="119">
        <f t="shared" si="83"/>
        <v>104</v>
      </c>
      <c r="I371" s="119">
        <f t="shared" si="84"/>
        <v>58</v>
      </c>
    </row>
    <row r="372" spans="1:9" x14ac:dyDescent="0.25">
      <c r="A372" s="116" t="s">
        <v>206</v>
      </c>
      <c r="B372" s="119">
        <v>3</v>
      </c>
      <c r="C372" s="119">
        <v>7</v>
      </c>
      <c r="D372" s="119">
        <v>5</v>
      </c>
      <c r="E372" s="119">
        <v>2</v>
      </c>
      <c r="F372" s="120">
        <v>2</v>
      </c>
      <c r="G372" s="35">
        <v>4</v>
      </c>
      <c r="H372" s="119">
        <f t="shared" si="83"/>
        <v>10</v>
      </c>
      <c r="I372" s="119">
        <f t="shared" si="84"/>
        <v>13</v>
      </c>
    </row>
    <row r="373" spans="1:9" x14ac:dyDescent="0.25">
      <c r="A373" s="116" t="s">
        <v>207</v>
      </c>
      <c r="B373" s="119">
        <v>16</v>
      </c>
      <c r="C373" s="119">
        <v>23</v>
      </c>
      <c r="D373" s="119">
        <v>10</v>
      </c>
      <c r="E373" s="119">
        <v>13</v>
      </c>
      <c r="F373" s="120">
        <v>11</v>
      </c>
      <c r="G373" s="120">
        <v>14</v>
      </c>
      <c r="H373" s="119">
        <f t="shared" si="83"/>
        <v>37</v>
      </c>
      <c r="I373" s="119">
        <f t="shared" si="84"/>
        <v>50</v>
      </c>
    </row>
    <row r="374" spans="1:9" x14ac:dyDescent="0.25">
      <c r="A374" s="32"/>
      <c r="B374" s="36"/>
      <c r="C374" s="37"/>
      <c r="D374" s="36"/>
      <c r="E374" s="37"/>
      <c r="F374" s="36"/>
      <c r="G374" s="37"/>
      <c r="H374" s="36"/>
      <c r="I374" s="37"/>
    </row>
    <row r="375" spans="1:9" x14ac:dyDescent="0.25">
      <c r="A375" s="32"/>
      <c r="B375" s="36"/>
      <c r="C375" s="37"/>
      <c r="D375" s="36"/>
      <c r="E375" s="37"/>
      <c r="F375" s="36"/>
      <c r="G375" s="37"/>
      <c r="H375" s="36"/>
      <c r="I375" s="37"/>
    </row>
    <row r="376" spans="1:9" x14ac:dyDescent="0.25">
      <c r="A376" s="29" t="s">
        <v>214</v>
      </c>
      <c r="B376" s="36"/>
      <c r="C376" s="37"/>
      <c r="D376" s="36"/>
      <c r="E376" s="37"/>
      <c r="F376" s="36"/>
      <c r="G376" s="37"/>
      <c r="H376" s="36"/>
      <c r="I376" s="37"/>
    </row>
    <row r="377" spans="1:9" x14ac:dyDescent="0.25">
      <c r="A377" s="32"/>
      <c r="B377" s="36"/>
      <c r="C377" s="37"/>
      <c r="D377" s="36"/>
      <c r="E377" s="37"/>
      <c r="F377" s="36"/>
      <c r="G377" s="37"/>
      <c r="H377" s="36"/>
      <c r="I377" s="37"/>
    </row>
    <row r="378" spans="1:9" x14ac:dyDescent="0.25">
      <c r="A378" s="32"/>
      <c r="B378" s="96"/>
      <c r="C378" s="106"/>
      <c r="D378" s="96"/>
      <c r="E378" s="106"/>
      <c r="F378" s="96"/>
      <c r="G378" s="37"/>
      <c r="H378" s="36"/>
      <c r="I378" s="37"/>
    </row>
    <row r="379" spans="1:9" ht="45" x14ac:dyDescent="0.25">
      <c r="A379" s="31"/>
      <c r="B379" s="33" t="s">
        <v>209</v>
      </c>
      <c r="C379" s="33" t="s">
        <v>210</v>
      </c>
      <c r="D379" s="33" t="s">
        <v>211</v>
      </c>
      <c r="E379" s="33" t="s">
        <v>212</v>
      </c>
      <c r="F379" s="33" t="s">
        <v>213</v>
      </c>
      <c r="G379" s="37"/>
      <c r="H379" s="36"/>
      <c r="I379" s="37"/>
    </row>
    <row r="380" spans="1:9" x14ac:dyDescent="0.25">
      <c r="A380" s="10" t="s">
        <v>218</v>
      </c>
      <c r="B380" s="62"/>
      <c r="C380" s="63"/>
      <c r="D380" s="62"/>
      <c r="E380" s="63"/>
      <c r="F380" s="62"/>
      <c r="G380" s="37"/>
      <c r="H380" s="36"/>
      <c r="I380" s="37"/>
    </row>
    <row r="381" spans="1:9" x14ac:dyDescent="0.25">
      <c r="A381" s="62" t="s">
        <v>215</v>
      </c>
      <c r="B381" s="62">
        <v>1.6</v>
      </c>
      <c r="C381" s="75">
        <v>1.7</v>
      </c>
      <c r="D381" s="62">
        <v>1.2</v>
      </c>
      <c r="E381" s="75">
        <v>1.4</v>
      </c>
      <c r="F381" s="62">
        <v>1.6</v>
      </c>
      <c r="G381" s="37"/>
      <c r="H381" s="36"/>
      <c r="I381" s="37"/>
    </row>
    <row r="382" spans="1:9" x14ac:dyDescent="0.25">
      <c r="A382" s="62" t="s">
        <v>216</v>
      </c>
      <c r="B382" s="62">
        <v>3.5</v>
      </c>
      <c r="C382" s="75">
        <v>2.7</v>
      </c>
      <c r="D382" s="62">
        <v>2</v>
      </c>
      <c r="E382" s="75">
        <v>2.4</v>
      </c>
      <c r="F382" s="62">
        <v>3.1</v>
      </c>
      <c r="G382" s="37"/>
      <c r="H382" s="36"/>
      <c r="I382" s="37"/>
    </row>
    <row r="383" spans="1:9" x14ac:dyDescent="0.25">
      <c r="A383" s="62" t="s">
        <v>217</v>
      </c>
      <c r="B383" s="62">
        <v>3.3</v>
      </c>
      <c r="C383" s="75">
        <v>1.9</v>
      </c>
      <c r="D383" s="62">
        <v>0.2</v>
      </c>
      <c r="E383" s="75">
        <v>1.2</v>
      </c>
      <c r="F383" s="62">
        <v>2.9</v>
      </c>
      <c r="G383" s="37"/>
      <c r="H383" s="36"/>
      <c r="I383" s="37"/>
    </row>
    <row r="384" spans="1:9" x14ac:dyDescent="0.25">
      <c r="A384" s="10" t="s">
        <v>8</v>
      </c>
      <c r="B384" s="62"/>
      <c r="C384" s="75"/>
      <c r="D384" s="62"/>
      <c r="E384" s="75"/>
      <c r="F384" s="62"/>
      <c r="G384" s="37"/>
      <c r="H384" s="36"/>
      <c r="I384" s="37"/>
    </row>
    <row r="385" spans="1:19" x14ac:dyDescent="0.25">
      <c r="A385" s="62" t="s">
        <v>215</v>
      </c>
      <c r="B385" s="62">
        <v>1.8</v>
      </c>
      <c r="C385" s="75">
        <v>1.8</v>
      </c>
      <c r="D385" s="62">
        <v>1.3</v>
      </c>
      <c r="E385" s="75">
        <v>1.7</v>
      </c>
      <c r="F385" s="62">
        <v>1.8</v>
      </c>
      <c r="G385" s="37"/>
      <c r="H385" s="36"/>
      <c r="I385" s="37"/>
    </row>
    <row r="386" spans="1:19" x14ac:dyDescent="0.25">
      <c r="A386" s="62" t="s">
        <v>216</v>
      </c>
      <c r="B386" s="62">
        <v>4.5</v>
      </c>
      <c r="C386" s="75">
        <v>3</v>
      </c>
      <c r="D386" s="62">
        <v>0.7</v>
      </c>
      <c r="E386" s="75">
        <v>1.3</v>
      </c>
      <c r="F386" s="62">
        <v>3.1</v>
      </c>
      <c r="G386" s="37"/>
      <c r="H386" s="36"/>
      <c r="I386" s="37"/>
    </row>
    <row r="387" spans="1:19" x14ac:dyDescent="0.25">
      <c r="A387" s="62" t="s">
        <v>217</v>
      </c>
      <c r="B387" s="62">
        <v>3.5</v>
      </c>
      <c r="C387" s="75">
        <v>2</v>
      </c>
      <c r="D387" s="62">
        <v>0.2</v>
      </c>
      <c r="E387" s="75">
        <v>1.1000000000000001</v>
      </c>
      <c r="F387" s="62">
        <v>2.9</v>
      </c>
      <c r="G387" s="37"/>
      <c r="H387" s="36"/>
      <c r="I387" s="37"/>
    </row>
    <row r="388" spans="1:19" x14ac:dyDescent="0.25">
      <c r="A388" s="30" t="s">
        <v>9</v>
      </c>
      <c r="B388" s="62"/>
      <c r="C388" s="75"/>
      <c r="D388" s="62"/>
      <c r="E388" s="75"/>
      <c r="F388" s="62"/>
      <c r="G388" s="37"/>
      <c r="H388" s="36"/>
      <c r="I388" s="37"/>
    </row>
    <row r="389" spans="1:19" x14ac:dyDescent="0.25">
      <c r="A389" s="62" t="s">
        <v>215</v>
      </c>
      <c r="B389" s="62">
        <v>1.7</v>
      </c>
      <c r="C389" s="75">
        <v>1.6</v>
      </c>
      <c r="D389" s="62">
        <v>1.4</v>
      </c>
      <c r="E389" s="75">
        <v>1.6</v>
      </c>
      <c r="F389" s="62">
        <v>1.7</v>
      </c>
      <c r="G389" s="37"/>
      <c r="H389" s="36"/>
      <c r="I389" s="37"/>
    </row>
    <row r="390" spans="1:19" x14ac:dyDescent="0.25">
      <c r="A390" s="62" t="s">
        <v>216</v>
      </c>
      <c r="B390" s="62">
        <v>2</v>
      </c>
      <c r="C390" s="75">
        <v>1.9</v>
      </c>
      <c r="D390" s="62">
        <v>1.7</v>
      </c>
      <c r="E390" s="75">
        <v>2</v>
      </c>
      <c r="F390" s="62">
        <v>2</v>
      </c>
      <c r="G390" s="37"/>
      <c r="H390" s="36"/>
      <c r="I390" s="37"/>
    </row>
    <row r="391" spans="1:19" x14ac:dyDescent="0.25">
      <c r="A391" s="62" t="s">
        <v>217</v>
      </c>
      <c r="B391" s="62">
        <v>3.5</v>
      </c>
      <c r="C391" s="75">
        <v>2</v>
      </c>
      <c r="D391" s="62">
        <v>0.2</v>
      </c>
      <c r="E391" s="75">
        <v>1.3</v>
      </c>
      <c r="F391" s="62">
        <v>3.1</v>
      </c>
      <c r="G391" s="37"/>
      <c r="H391" s="36"/>
      <c r="I391" s="37"/>
    </row>
    <row r="392" spans="1:19" x14ac:dyDescent="0.25">
      <c r="A392" s="30" t="s">
        <v>173</v>
      </c>
      <c r="B392" s="62"/>
      <c r="C392" s="75"/>
      <c r="D392" s="62"/>
      <c r="E392" s="75"/>
      <c r="F392" s="62"/>
      <c r="G392" s="37"/>
      <c r="H392" s="36"/>
      <c r="I392" s="37"/>
    </row>
    <row r="393" spans="1:19" x14ac:dyDescent="0.25">
      <c r="A393" s="62" t="s">
        <v>215</v>
      </c>
      <c r="B393" s="75">
        <v>1.7</v>
      </c>
      <c r="C393" s="75">
        <v>1.7</v>
      </c>
      <c r="D393" s="75">
        <v>1.3</v>
      </c>
      <c r="E393" s="75">
        <v>1.6</v>
      </c>
      <c r="F393" s="75">
        <v>1.7</v>
      </c>
      <c r="G393" s="37"/>
      <c r="H393" s="36"/>
      <c r="I393" s="37"/>
    </row>
    <row r="394" spans="1:19" x14ac:dyDescent="0.25">
      <c r="A394" s="62" t="s">
        <v>216</v>
      </c>
      <c r="B394" s="75">
        <v>3.1</v>
      </c>
      <c r="C394" s="75">
        <v>2.4</v>
      </c>
      <c r="D394" s="75">
        <v>1.6</v>
      </c>
      <c r="E394" s="75">
        <v>2</v>
      </c>
      <c r="F394" s="75">
        <v>2.6</v>
      </c>
      <c r="G394" s="37"/>
      <c r="H394" s="36"/>
      <c r="I394" s="37"/>
    </row>
    <row r="395" spans="1:19" x14ac:dyDescent="0.25">
      <c r="A395" s="62" t="s">
        <v>217</v>
      </c>
      <c r="B395" s="75">
        <v>3.4</v>
      </c>
      <c r="C395" s="75">
        <v>1.9</v>
      </c>
      <c r="D395" s="75">
        <v>0.2</v>
      </c>
      <c r="E395" s="75">
        <v>1.2</v>
      </c>
      <c r="F395" s="75">
        <v>3</v>
      </c>
      <c r="G395" s="37"/>
      <c r="H395" s="36"/>
      <c r="I395" s="37"/>
    </row>
    <row r="396" spans="1:19" x14ac:dyDescent="0.25">
      <c r="A396" s="36"/>
      <c r="B396" s="74"/>
      <c r="C396" s="74"/>
      <c r="D396" s="74"/>
      <c r="E396" s="74"/>
      <c r="F396" s="74"/>
      <c r="G396" s="37"/>
      <c r="H396" s="36"/>
      <c r="I396" s="37"/>
    </row>
    <row r="397" spans="1:19" x14ac:dyDescent="0.25">
      <c r="A397" s="8" t="s">
        <v>284</v>
      </c>
    </row>
    <row r="399" spans="1:19" x14ac:dyDescent="0.25">
      <c r="A399" s="44"/>
      <c r="B399" s="52" t="s">
        <v>219</v>
      </c>
      <c r="C399" s="52"/>
      <c r="D399" s="49" t="s">
        <v>220</v>
      </c>
      <c r="E399" s="50"/>
      <c r="F399" s="51" t="s">
        <v>221</v>
      </c>
      <c r="G399" s="51"/>
      <c r="H399" s="49" t="s">
        <v>222</v>
      </c>
      <c r="I399" s="53"/>
      <c r="J399" s="54" t="s">
        <v>223</v>
      </c>
      <c r="K399" s="53"/>
      <c r="L399" s="49" t="s">
        <v>224</v>
      </c>
      <c r="M399" s="107"/>
      <c r="N399" s="54" t="s">
        <v>225</v>
      </c>
      <c r="O399" s="53"/>
      <c r="P399" s="49" t="s">
        <v>226</v>
      </c>
      <c r="Q399" s="50"/>
      <c r="R399" s="64" t="s">
        <v>26</v>
      </c>
      <c r="S399" s="64"/>
    </row>
    <row r="400" spans="1:19" x14ac:dyDescent="0.25">
      <c r="A400" s="12" t="s">
        <v>218</v>
      </c>
      <c r="B400" s="64" t="s">
        <v>5</v>
      </c>
      <c r="C400" s="108" t="s">
        <v>6</v>
      </c>
      <c r="D400" s="64" t="s">
        <v>5</v>
      </c>
      <c r="E400" s="108" t="s">
        <v>6</v>
      </c>
      <c r="F400" s="64" t="s">
        <v>5</v>
      </c>
      <c r="G400" s="108" t="s">
        <v>6</v>
      </c>
      <c r="H400" s="64" t="s">
        <v>5</v>
      </c>
      <c r="I400" s="108" t="s">
        <v>6</v>
      </c>
      <c r="J400" s="64" t="s">
        <v>5</v>
      </c>
      <c r="K400" s="108" t="s">
        <v>6</v>
      </c>
      <c r="L400" s="64" t="s">
        <v>5</v>
      </c>
      <c r="M400" s="108" t="s">
        <v>6</v>
      </c>
      <c r="N400" s="64" t="s">
        <v>5</v>
      </c>
      <c r="O400" s="64" t="s">
        <v>6</v>
      </c>
      <c r="P400" s="64" t="s">
        <v>5</v>
      </c>
      <c r="Q400" s="64" t="s">
        <v>6</v>
      </c>
      <c r="R400" s="64" t="s">
        <v>5</v>
      </c>
      <c r="S400" s="64" t="s">
        <v>6</v>
      </c>
    </row>
    <row r="401" spans="1:19" x14ac:dyDescent="0.25">
      <c r="A401" s="64" t="s">
        <v>227</v>
      </c>
      <c r="B401" s="64">
        <v>16</v>
      </c>
      <c r="C401" s="109">
        <f>(B401/91)*100</f>
        <v>17.582417582417584</v>
      </c>
      <c r="D401" s="64">
        <v>3</v>
      </c>
      <c r="E401" s="109">
        <f>(D401/91)*100</f>
        <v>3.296703296703297</v>
      </c>
      <c r="F401" s="64">
        <v>10</v>
      </c>
      <c r="G401" s="109">
        <f>(F401/91)*100</f>
        <v>10.989010989010989</v>
      </c>
      <c r="H401" s="64">
        <v>15</v>
      </c>
      <c r="I401" s="109">
        <f>(H401/91)*100</f>
        <v>16.483516483516482</v>
      </c>
      <c r="J401" s="64">
        <v>6</v>
      </c>
      <c r="K401" s="109">
        <f>(J401/91)*100</f>
        <v>6.593406593406594</v>
      </c>
      <c r="L401" s="64">
        <v>19</v>
      </c>
      <c r="M401" s="109">
        <f>(L401/91)*100</f>
        <v>20.87912087912088</v>
      </c>
      <c r="N401" s="64">
        <v>53</v>
      </c>
      <c r="O401" s="109">
        <f>(N401/91)*100</f>
        <v>58.241758241758248</v>
      </c>
      <c r="P401" s="64">
        <v>20</v>
      </c>
      <c r="Q401" s="109">
        <f>(P401/91)*100</f>
        <v>21.978021978021978</v>
      </c>
      <c r="R401" s="64">
        <v>11</v>
      </c>
      <c r="S401" s="109">
        <f>(R401/91)*100</f>
        <v>12.087912087912088</v>
      </c>
    </row>
    <row r="402" spans="1:19" x14ac:dyDescent="0.25">
      <c r="A402" s="64" t="s">
        <v>307</v>
      </c>
      <c r="B402" s="64">
        <v>1</v>
      </c>
      <c r="C402" s="109">
        <f>(B402/10)*100</f>
        <v>10</v>
      </c>
      <c r="D402" s="64">
        <v>2</v>
      </c>
      <c r="E402" s="109">
        <f>(D402/10)*100</f>
        <v>20</v>
      </c>
      <c r="F402" s="64">
        <v>0</v>
      </c>
      <c r="G402" s="109">
        <f>(F402/3)*100</f>
        <v>0</v>
      </c>
      <c r="H402" s="64">
        <v>2</v>
      </c>
      <c r="I402" s="109">
        <f>(H402/10)*100</f>
        <v>20</v>
      </c>
      <c r="J402" s="64">
        <v>0</v>
      </c>
      <c r="K402" s="109">
        <f>(J402/3)*100</f>
        <v>0</v>
      </c>
      <c r="L402" s="64">
        <v>2</v>
      </c>
      <c r="M402" s="109">
        <f>(L402/10)*100</f>
        <v>20</v>
      </c>
      <c r="N402" s="64">
        <v>0</v>
      </c>
      <c r="O402" s="109">
        <f>(N402/3)*100</f>
        <v>0</v>
      </c>
      <c r="P402" s="64">
        <v>1</v>
      </c>
      <c r="Q402" s="109">
        <f>(P402/10)*100</f>
        <v>10</v>
      </c>
      <c r="R402" s="64">
        <v>5</v>
      </c>
      <c r="S402" s="109">
        <f>(R402/10)*100</f>
        <v>50</v>
      </c>
    </row>
    <row r="403" spans="1:19" x14ac:dyDescent="0.25">
      <c r="A403" s="64" t="s">
        <v>234</v>
      </c>
      <c r="B403" s="64">
        <v>148</v>
      </c>
      <c r="C403" s="109">
        <f>(B403/310)*100</f>
        <v>47.741935483870968</v>
      </c>
      <c r="D403" s="64">
        <v>9</v>
      </c>
      <c r="E403" s="109">
        <f>(D403/310)*100</f>
        <v>2.903225806451613</v>
      </c>
      <c r="F403" s="64">
        <v>19</v>
      </c>
      <c r="G403" s="109">
        <f>(F403/310)*100</f>
        <v>6.129032258064516</v>
      </c>
      <c r="H403" s="64">
        <v>15</v>
      </c>
      <c r="I403" s="109">
        <f>(H403/310)*100</f>
        <v>4.838709677419355</v>
      </c>
      <c r="J403" s="64">
        <v>11</v>
      </c>
      <c r="K403" s="109">
        <f>(J403/310)*100</f>
        <v>3.5483870967741935</v>
      </c>
      <c r="L403" s="64">
        <v>54</v>
      </c>
      <c r="M403" s="109">
        <f>(L403/310)*100</f>
        <v>17.419354838709676</v>
      </c>
      <c r="N403" s="64">
        <v>82</v>
      </c>
      <c r="O403" s="109">
        <f>(N403/310)*100</f>
        <v>26.451612903225808</v>
      </c>
      <c r="P403" s="64">
        <v>56</v>
      </c>
      <c r="Q403" s="109">
        <f>(P403/310)*100</f>
        <v>18.064516129032256</v>
      </c>
      <c r="R403" s="64">
        <v>42</v>
      </c>
      <c r="S403" s="109">
        <f>(R403/310)*100</f>
        <v>13.548387096774196</v>
      </c>
    </row>
    <row r="404" spans="1:19" x14ac:dyDescent="0.25">
      <c r="A404" s="12" t="s">
        <v>8</v>
      </c>
      <c r="B404" s="64"/>
      <c r="C404" s="110"/>
      <c r="D404" s="64"/>
      <c r="E404" s="110"/>
      <c r="F404" s="64"/>
      <c r="G404" s="108"/>
      <c r="H404" s="64"/>
      <c r="I404" s="108"/>
      <c r="J404" s="64"/>
      <c r="K404" s="64"/>
      <c r="L404" s="64"/>
      <c r="M404" s="64"/>
      <c r="N404" s="64"/>
      <c r="O404" s="64"/>
      <c r="P404" s="64"/>
      <c r="Q404" s="64"/>
      <c r="R404" s="64"/>
      <c r="S404" s="64"/>
    </row>
    <row r="405" spans="1:19" x14ac:dyDescent="0.25">
      <c r="A405" s="64" t="s">
        <v>229</v>
      </c>
      <c r="B405" s="64">
        <v>11</v>
      </c>
      <c r="C405" s="109">
        <f>(B405/74)*100</f>
        <v>14.864864864864865</v>
      </c>
      <c r="D405" s="64">
        <v>1</v>
      </c>
      <c r="E405" s="109">
        <f>(D405/74)*100</f>
        <v>1.3513513513513513</v>
      </c>
      <c r="F405" s="64">
        <v>4</v>
      </c>
      <c r="G405" s="109">
        <f>(F405/74)*100</f>
        <v>5.4054054054054053</v>
      </c>
      <c r="H405" s="64">
        <v>12</v>
      </c>
      <c r="I405" s="109">
        <f>(H405/74)*100</f>
        <v>16.216216216216218</v>
      </c>
      <c r="J405" s="64">
        <v>1</v>
      </c>
      <c r="K405" s="109">
        <f>(J405/74)*100</f>
        <v>1.3513513513513513</v>
      </c>
      <c r="L405" s="64">
        <v>20</v>
      </c>
      <c r="M405" s="109">
        <f>(L405/74)*100</f>
        <v>27.027027027027028</v>
      </c>
      <c r="N405" s="64">
        <v>46</v>
      </c>
      <c r="O405" s="109">
        <f>(N405/74)*100</f>
        <v>62.162162162162161</v>
      </c>
      <c r="P405" s="64">
        <v>17</v>
      </c>
      <c r="Q405" s="109">
        <f>(P405/74)*100</f>
        <v>22.972972972972975</v>
      </c>
      <c r="R405" s="64">
        <v>4</v>
      </c>
      <c r="S405" s="109">
        <f>(R405/74)*100</f>
        <v>5.4054054054054053</v>
      </c>
    </row>
    <row r="406" spans="1:19" x14ac:dyDescent="0.25">
      <c r="A406" s="64" t="s">
        <v>308</v>
      </c>
      <c r="B406" s="64">
        <v>3</v>
      </c>
      <c r="C406" s="109">
        <f>(B406/4)*100</f>
        <v>75</v>
      </c>
      <c r="D406" s="64">
        <v>0</v>
      </c>
      <c r="E406" s="109">
        <f>(D406/3)*100</f>
        <v>0</v>
      </c>
      <c r="F406" s="64">
        <v>0</v>
      </c>
      <c r="G406" s="109">
        <f>(F406/3)*100</f>
        <v>0</v>
      </c>
      <c r="H406" s="64">
        <v>0</v>
      </c>
      <c r="I406" s="109">
        <f>(H406/3)*100</f>
        <v>0</v>
      </c>
      <c r="J406" s="64">
        <v>0</v>
      </c>
      <c r="K406" s="109">
        <f>(J406/3)*100</f>
        <v>0</v>
      </c>
      <c r="L406" s="64">
        <v>0</v>
      </c>
      <c r="M406" s="109">
        <f>(L406/3)*100</f>
        <v>0</v>
      </c>
      <c r="N406" s="64">
        <v>1</v>
      </c>
      <c r="O406" s="109">
        <f>(N406/4)*100</f>
        <v>25</v>
      </c>
      <c r="P406" s="64">
        <v>0</v>
      </c>
      <c r="Q406" s="109">
        <f>(P406/3)*100</f>
        <v>0</v>
      </c>
      <c r="R406" s="64">
        <v>0</v>
      </c>
      <c r="S406" s="109">
        <f>(R406/3)*100</f>
        <v>0</v>
      </c>
    </row>
    <row r="407" spans="1:19" x14ac:dyDescent="0.25">
      <c r="A407" s="64" t="s">
        <v>235</v>
      </c>
      <c r="B407" s="64">
        <v>82</v>
      </c>
      <c r="C407" s="109">
        <f>(B407/196)*100</f>
        <v>41.836734693877553</v>
      </c>
      <c r="D407" s="64">
        <v>10</v>
      </c>
      <c r="E407" s="109">
        <f>(D407/196)*100</f>
        <v>5.1020408163265305</v>
      </c>
      <c r="F407" s="64">
        <v>10</v>
      </c>
      <c r="G407" s="109">
        <f>(F407/196)*100</f>
        <v>5.1020408163265305</v>
      </c>
      <c r="H407" s="64">
        <v>16</v>
      </c>
      <c r="I407" s="109">
        <f>(H407/196)*100</f>
        <v>8.1632653061224492</v>
      </c>
      <c r="J407" s="64">
        <v>9</v>
      </c>
      <c r="K407" s="109">
        <f>(J407/196)*100</f>
        <v>4.591836734693878</v>
      </c>
      <c r="L407" s="64">
        <v>31</v>
      </c>
      <c r="M407" s="109">
        <f>(L407/196)*100</f>
        <v>15.816326530612246</v>
      </c>
      <c r="N407" s="64">
        <v>45</v>
      </c>
      <c r="O407" s="109">
        <f>(N407/196)*100</f>
        <v>22.95918367346939</v>
      </c>
      <c r="P407" s="64">
        <v>26</v>
      </c>
      <c r="Q407" s="109">
        <f>(P407/196)*100</f>
        <v>13.26530612244898</v>
      </c>
      <c r="R407" s="64">
        <v>28</v>
      </c>
      <c r="S407" s="109">
        <f>(R407/196)*100</f>
        <v>14.285714285714285</v>
      </c>
    </row>
    <row r="408" spans="1:19" x14ac:dyDescent="0.25">
      <c r="A408" s="46" t="s">
        <v>9</v>
      </c>
      <c r="B408" s="64"/>
      <c r="C408" s="110"/>
      <c r="D408" s="64"/>
      <c r="E408" s="110"/>
      <c r="F408" s="64"/>
      <c r="G408" s="108"/>
      <c r="H408" s="64"/>
      <c r="I408" s="108"/>
      <c r="J408" s="64"/>
      <c r="K408" s="64"/>
      <c r="L408" s="64"/>
      <c r="M408" s="64"/>
      <c r="N408" s="64"/>
      <c r="O408" s="64"/>
      <c r="P408" s="64"/>
      <c r="Q408" s="64"/>
      <c r="R408" s="64"/>
      <c r="S408" s="64"/>
    </row>
    <row r="409" spans="1:19" x14ac:dyDescent="0.25">
      <c r="A409" s="64" t="s">
        <v>230</v>
      </c>
      <c r="B409" s="64">
        <v>19</v>
      </c>
      <c r="C409" s="109">
        <f>(B409/108)*100</f>
        <v>17.592592592592592</v>
      </c>
      <c r="D409" s="64">
        <v>3</v>
      </c>
      <c r="E409" s="109">
        <f>(D409/108)*100</f>
        <v>2.7777777777777777</v>
      </c>
      <c r="F409" s="64">
        <v>11</v>
      </c>
      <c r="G409" s="109">
        <f>(F409/108)*100</f>
        <v>10.185185185185185</v>
      </c>
      <c r="H409" s="64">
        <v>15</v>
      </c>
      <c r="I409" s="109">
        <f>(H409/108)*100</f>
        <v>13.888888888888889</v>
      </c>
      <c r="J409" s="64">
        <v>5</v>
      </c>
      <c r="K409" s="109">
        <f>(J409/108)*100</f>
        <v>4.6296296296296298</v>
      </c>
      <c r="L409" s="64">
        <v>22</v>
      </c>
      <c r="M409" s="109">
        <f>(L409/108)*100</f>
        <v>20.37037037037037</v>
      </c>
      <c r="N409" s="64">
        <v>63</v>
      </c>
      <c r="O409" s="109">
        <f>(N409/108)*100</f>
        <v>58.333333333333336</v>
      </c>
      <c r="P409" s="64">
        <v>14</v>
      </c>
      <c r="Q409" s="109">
        <f>(P409/108)*100</f>
        <v>12.962962962962962</v>
      </c>
      <c r="R409" s="64">
        <v>8</v>
      </c>
      <c r="S409" s="109">
        <f>(R409/108)*100</f>
        <v>7.4074074074074066</v>
      </c>
    </row>
    <row r="410" spans="1:19" x14ac:dyDescent="0.25">
      <c r="A410" s="64" t="s">
        <v>309</v>
      </c>
      <c r="B410" s="64">
        <v>2</v>
      </c>
      <c r="C410" s="109">
        <f>(B410/19)*100</f>
        <v>10.526315789473683</v>
      </c>
      <c r="D410" s="64">
        <v>2</v>
      </c>
      <c r="E410" s="109">
        <f>(D410/19)*100</f>
        <v>10.526315789473683</v>
      </c>
      <c r="F410" s="64">
        <v>1</v>
      </c>
      <c r="G410" s="109">
        <f>(F410/19)*100</f>
        <v>5.2631578947368416</v>
      </c>
      <c r="H410" s="64">
        <v>2</v>
      </c>
      <c r="I410" s="109">
        <f>(H410/19)*100</f>
        <v>10.526315789473683</v>
      </c>
      <c r="J410" s="64">
        <v>1</v>
      </c>
      <c r="K410" s="109">
        <f>(J410/19)*100</f>
        <v>5.2631578947368416</v>
      </c>
      <c r="L410" s="64">
        <v>1</v>
      </c>
      <c r="M410" s="109">
        <f>(L410/19)*100</f>
        <v>5.2631578947368416</v>
      </c>
      <c r="N410" s="64">
        <v>3</v>
      </c>
      <c r="O410" s="109">
        <f>(N410/19)*100</f>
        <v>15.789473684210526</v>
      </c>
      <c r="P410" s="64">
        <v>1</v>
      </c>
      <c r="Q410" s="109">
        <f>(P410/19)*100</f>
        <v>5.2631578947368416</v>
      </c>
      <c r="R410" s="64">
        <v>5</v>
      </c>
      <c r="S410" s="109">
        <f>(R410/19)*100</f>
        <v>26.315789473684209</v>
      </c>
    </row>
    <row r="411" spans="1:19" x14ac:dyDescent="0.25">
      <c r="A411" s="64" t="s">
        <v>236</v>
      </c>
      <c r="B411" s="64">
        <v>120</v>
      </c>
      <c r="C411" s="109">
        <f>(B411/263)*100</f>
        <v>45.627376425855516</v>
      </c>
      <c r="D411" s="64">
        <v>17</v>
      </c>
      <c r="E411" s="109">
        <f>(D411/263)*100</f>
        <v>6.4638783269961975</v>
      </c>
      <c r="F411" s="64">
        <v>9</v>
      </c>
      <c r="G411" s="109">
        <f>(F411/263)*100</f>
        <v>3.4220532319391634</v>
      </c>
      <c r="H411" s="64">
        <v>21</v>
      </c>
      <c r="I411" s="109">
        <f>(H411/263)*100</f>
        <v>7.9847908745247151</v>
      </c>
      <c r="J411" s="64">
        <v>6</v>
      </c>
      <c r="K411" s="109">
        <f>(J411/263)*100</f>
        <v>2.2813688212927756</v>
      </c>
      <c r="L411" s="64">
        <v>41</v>
      </c>
      <c r="M411" s="109">
        <f>(L411/263)*100</f>
        <v>15.589353612167301</v>
      </c>
      <c r="N411" s="64">
        <v>54</v>
      </c>
      <c r="O411" s="109">
        <f>(N411/263)*100</f>
        <v>20.532319391634982</v>
      </c>
      <c r="P411" s="64">
        <v>28</v>
      </c>
      <c r="Q411" s="109">
        <f>(P411/263)*100</f>
        <v>10.646387832699618</v>
      </c>
      <c r="R411" s="64">
        <v>42</v>
      </c>
      <c r="S411" s="109">
        <f>(R411/263)*100</f>
        <v>15.96958174904943</v>
      </c>
    </row>
    <row r="412" spans="1:19" x14ac:dyDescent="0.25">
      <c r="A412" s="46" t="s">
        <v>173</v>
      </c>
      <c r="B412" s="64"/>
      <c r="C412" s="109"/>
      <c r="D412" s="64"/>
      <c r="E412" s="110"/>
      <c r="F412" s="64"/>
      <c r="G412" s="108"/>
      <c r="H412" s="64"/>
      <c r="I412" s="108"/>
      <c r="J412" s="64"/>
      <c r="K412" s="64"/>
      <c r="L412" s="64"/>
      <c r="M412" s="64"/>
      <c r="N412" s="64"/>
      <c r="O412" s="64"/>
      <c r="P412" s="64"/>
      <c r="Q412" s="64"/>
      <c r="R412" s="64"/>
      <c r="S412" s="64"/>
    </row>
    <row r="413" spans="1:19" x14ac:dyDescent="0.25">
      <c r="A413" s="64" t="s">
        <v>233</v>
      </c>
      <c r="B413" s="109">
        <f>(B401+B405+B409)</f>
        <v>46</v>
      </c>
      <c r="C413" s="109">
        <f>(B413/273)*100</f>
        <v>16.84981684981685</v>
      </c>
      <c r="D413" s="109">
        <f>(D401+D405+D409)</f>
        <v>7</v>
      </c>
      <c r="E413" s="109">
        <f>(D413/273)*100</f>
        <v>2.5641025641025639</v>
      </c>
      <c r="F413" s="109">
        <f>(F401+F405+F409)</f>
        <v>25</v>
      </c>
      <c r="G413" s="109">
        <f>(F413/273)*100</f>
        <v>9.1575091575091569</v>
      </c>
      <c r="H413" s="109">
        <f>(H401+H405+H409)</f>
        <v>42</v>
      </c>
      <c r="I413" s="109">
        <f>(H413/273)*100</f>
        <v>15.384615384615385</v>
      </c>
      <c r="J413" s="109">
        <f>(J401+J405+J409)</f>
        <v>12</v>
      </c>
      <c r="K413" s="109">
        <f>(J413/273)*100</f>
        <v>4.395604395604396</v>
      </c>
      <c r="L413" s="109">
        <f>(L401+L405+L409)</f>
        <v>61</v>
      </c>
      <c r="M413" s="109">
        <f>(L413/273)*100</f>
        <v>22.344322344322347</v>
      </c>
      <c r="N413" s="109">
        <f>(N401+N405+N409)</f>
        <v>162</v>
      </c>
      <c r="O413" s="109">
        <f>(N413/273)*100</f>
        <v>59.340659340659343</v>
      </c>
      <c r="P413" s="109">
        <f>(P401+P405+P409)</f>
        <v>51</v>
      </c>
      <c r="Q413" s="109">
        <f>(P413/273)*100</f>
        <v>18.681318681318682</v>
      </c>
      <c r="R413" s="109">
        <f>(R401+R405+R409)</f>
        <v>23</v>
      </c>
      <c r="S413" s="109">
        <f>(R413/273)*100</f>
        <v>8.4249084249084252</v>
      </c>
    </row>
    <row r="414" spans="1:19" x14ac:dyDescent="0.25">
      <c r="A414" s="64" t="s">
        <v>310</v>
      </c>
      <c r="B414" s="109">
        <f t="shared" ref="B414:D414" si="85">(B402+B406+B410)</f>
        <v>6</v>
      </c>
      <c r="C414" s="109">
        <f>(B414/33)*100</f>
        <v>18.181818181818183</v>
      </c>
      <c r="D414" s="109">
        <f t="shared" si="85"/>
        <v>4</v>
      </c>
      <c r="E414" s="109">
        <f>(D414/33)*100</f>
        <v>12.121212121212121</v>
      </c>
      <c r="F414" s="109">
        <f t="shared" ref="F414" si="86">(F402+F406+F410)</f>
        <v>1</v>
      </c>
      <c r="G414" s="109">
        <f>(F414/33)*100</f>
        <v>3.0303030303030303</v>
      </c>
      <c r="H414" s="109">
        <f t="shared" ref="H414" si="87">(H402+H406+H410)</f>
        <v>4</v>
      </c>
      <c r="I414" s="109">
        <f>(H414/33)*100</f>
        <v>12.121212121212121</v>
      </c>
      <c r="J414" s="109">
        <f t="shared" ref="J414" si="88">(J402+J406+J410)</f>
        <v>1</v>
      </c>
      <c r="K414" s="109">
        <f>(J414/33)*100</f>
        <v>3.0303030303030303</v>
      </c>
      <c r="L414" s="109">
        <f t="shared" ref="L414" si="89">(L402+L406+L410)</f>
        <v>3</v>
      </c>
      <c r="M414" s="109">
        <f>(L414/33)*100</f>
        <v>9.0909090909090917</v>
      </c>
      <c r="N414" s="109">
        <f t="shared" ref="N414" si="90">(N402+N406+N410)</f>
        <v>4</v>
      </c>
      <c r="O414" s="109">
        <f>(N414/33)*100</f>
        <v>12.121212121212121</v>
      </c>
      <c r="P414" s="109">
        <f t="shared" ref="P414" si="91">(P402+P406+P410)</f>
        <v>2</v>
      </c>
      <c r="Q414" s="109">
        <f>(P414/33)*100</f>
        <v>6.0606060606060606</v>
      </c>
      <c r="R414" s="109">
        <f t="shared" ref="R414" si="92">(R402+R406+R410)</f>
        <v>10</v>
      </c>
      <c r="S414" s="109">
        <f>(R414/33)*100</f>
        <v>30.303030303030305</v>
      </c>
    </row>
    <row r="415" spans="1:19" x14ac:dyDescent="0.25">
      <c r="A415" s="64" t="s">
        <v>306</v>
      </c>
      <c r="B415" s="109">
        <f t="shared" ref="B415:D415" si="93">(B403+B407+B411)</f>
        <v>350</v>
      </c>
      <c r="C415" s="109">
        <f>(B415/769)*100</f>
        <v>45.513654096228869</v>
      </c>
      <c r="D415" s="109">
        <f t="shared" si="93"/>
        <v>36</v>
      </c>
      <c r="E415" s="109">
        <f>(D415/769)*100</f>
        <v>4.6814044213263983</v>
      </c>
      <c r="F415" s="109">
        <f t="shared" ref="F415" si="94">(F403+F407+F411)</f>
        <v>38</v>
      </c>
      <c r="G415" s="109">
        <f>(F415/769)*100</f>
        <v>4.9414824447334205</v>
      </c>
      <c r="H415" s="109">
        <f t="shared" ref="H415" si="95">(H403+H407+H411)</f>
        <v>52</v>
      </c>
      <c r="I415" s="109">
        <f>(H415/769)*100</f>
        <v>6.7620286085825754</v>
      </c>
      <c r="J415" s="109">
        <f t="shared" ref="J415" si="96">(J403+J407+J411)</f>
        <v>26</v>
      </c>
      <c r="K415" s="109">
        <f>(J415/769)*100</f>
        <v>3.3810143042912877</v>
      </c>
      <c r="L415" s="109">
        <f t="shared" ref="L415" si="97">(L403+L407+L411)</f>
        <v>126</v>
      </c>
      <c r="M415" s="109">
        <f>(L415/769)*100</f>
        <v>16.384915474642391</v>
      </c>
      <c r="N415" s="109">
        <f t="shared" ref="N415" si="98">(N403+N407+N411)</f>
        <v>181</v>
      </c>
      <c r="O415" s="109">
        <f>(N415/769)*100</f>
        <v>23.537061118335501</v>
      </c>
      <c r="P415" s="109">
        <f t="shared" ref="P415" si="99">(P403+P407+P411)</f>
        <v>110</v>
      </c>
      <c r="Q415" s="109">
        <f>(P415/769)*100</f>
        <v>14.304291287386217</v>
      </c>
      <c r="R415" s="109">
        <f t="shared" ref="R415" si="100">(R403+R407+R411)</f>
        <v>112</v>
      </c>
      <c r="S415" s="109">
        <f>(R415/769)*100</f>
        <v>14.564369310793237</v>
      </c>
    </row>
    <row r="416" spans="1:19" ht="14.25" customHeight="1" x14ac:dyDescent="0.25">
      <c r="A416" s="66"/>
      <c r="B416" s="66"/>
      <c r="C416" s="67"/>
      <c r="D416" s="66"/>
      <c r="E416" s="67"/>
      <c r="F416" s="66"/>
      <c r="G416" s="67"/>
      <c r="H416" s="66"/>
      <c r="I416" s="67"/>
      <c r="J416" s="66"/>
      <c r="K416" s="66"/>
      <c r="L416" s="66"/>
      <c r="M416" s="66"/>
      <c r="N416" s="66"/>
      <c r="O416" s="66"/>
      <c r="P416" s="66"/>
      <c r="Q416" s="66"/>
      <c r="R416" s="66"/>
      <c r="S416" s="66"/>
    </row>
    <row r="417" spans="1:36" x14ac:dyDescent="0.25">
      <c r="A417" s="1" t="s">
        <v>237</v>
      </c>
    </row>
    <row r="418" spans="1:36" x14ac:dyDescent="0.25">
      <c r="A418" s="1"/>
    </row>
    <row r="419" spans="1:36" ht="30" x14ac:dyDescent="0.25">
      <c r="A419" s="10"/>
      <c r="B419" s="62" t="s">
        <v>238</v>
      </c>
      <c r="C419" s="63" t="s">
        <v>239</v>
      </c>
      <c r="D419" s="62" t="s">
        <v>240</v>
      </c>
      <c r="E419" s="62" t="s">
        <v>241</v>
      </c>
      <c r="F419" s="63" t="s">
        <v>242</v>
      </c>
      <c r="G419" s="62" t="s">
        <v>243</v>
      </c>
      <c r="H419" s="62" t="s">
        <v>244</v>
      </c>
      <c r="I419" s="63" t="s">
        <v>245</v>
      </c>
      <c r="J419" s="62" t="s">
        <v>246</v>
      </c>
      <c r="K419" s="62" t="s">
        <v>247</v>
      </c>
      <c r="L419" s="63" t="s">
        <v>248</v>
      </c>
      <c r="M419" s="62" t="s">
        <v>249</v>
      </c>
      <c r="N419" s="62" t="s">
        <v>250</v>
      </c>
      <c r="O419" s="63" t="s">
        <v>251</v>
      </c>
      <c r="P419" s="62" t="s">
        <v>252</v>
      </c>
      <c r="Q419" s="62" t="s">
        <v>253</v>
      </c>
      <c r="R419" s="63" t="s">
        <v>254</v>
      </c>
      <c r="S419" s="62" t="s">
        <v>255</v>
      </c>
      <c r="T419" s="62" t="s">
        <v>256</v>
      </c>
      <c r="U419" s="63" t="s">
        <v>257</v>
      </c>
      <c r="V419" s="62" t="s">
        <v>258</v>
      </c>
      <c r="W419" s="62" t="s">
        <v>259</v>
      </c>
      <c r="X419" s="63" t="s">
        <v>260</v>
      </c>
      <c r="Y419" s="62" t="s">
        <v>261</v>
      </c>
      <c r="Z419" s="5" t="s">
        <v>26</v>
      </c>
      <c r="AA419" s="3"/>
      <c r="AB419" s="3"/>
      <c r="AC419" s="3"/>
      <c r="AD419" s="3"/>
      <c r="AE419" s="3"/>
      <c r="AF419" s="3"/>
      <c r="AG419" s="3"/>
      <c r="AH419" s="3"/>
      <c r="AI419" s="3"/>
      <c r="AJ419" s="3"/>
    </row>
    <row r="420" spans="1:36" x14ac:dyDescent="0.25">
      <c r="A420" s="62"/>
      <c r="B420" s="62" t="s">
        <v>5</v>
      </c>
      <c r="C420" s="62" t="s">
        <v>5</v>
      </c>
      <c r="D420" s="62" t="s">
        <v>5</v>
      </c>
      <c r="E420" s="62" t="s">
        <v>5</v>
      </c>
      <c r="F420" s="62" t="s">
        <v>5</v>
      </c>
      <c r="G420" s="62" t="s">
        <v>5</v>
      </c>
      <c r="H420" s="62" t="s">
        <v>5</v>
      </c>
      <c r="I420" s="62" t="s">
        <v>5</v>
      </c>
      <c r="J420" s="62" t="s">
        <v>5</v>
      </c>
      <c r="K420" s="62" t="s">
        <v>5</v>
      </c>
      <c r="L420" s="62" t="s">
        <v>5</v>
      </c>
      <c r="M420" s="62" t="s">
        <v>5</v>
      </c>
      <c r="N420" s="62" t="s">
        <v>5</v>
      </c>
      <c r="O420" s="62" t="s">
        <v>5</v>
      </c>
      <c r="P420" s="62" t="s">
        <v>5</v>
      </c>
      <c r="Q420" s="62" t="s">
        <v>5</v>
      </c>
      <c r="R420" s="62" t="s">
        <v>5</v>
      </c>
      <c r="S420" s="62" t="s">
        <v>5</v>
      </c>
      <c r="T420" s="62" t="s">
        <v>5</v>
      </c>
      <c r="U420" s="62" t="s">
        <v>5</v>
      </c>
      <c r="V420" s="62" t="s">
        <v>5</v>
      </c>
      <c r="W420" s="62" t="s">
        <v>5</v>
      </c>
      <c r="X420" s="62" t="s">
        <v>5</v>
      </c>
      <c r="Y420" s="62" t="s">
        <v>5</v>
      </c>
      <c r="Z420" s="2" t="s">
        <v>5</v>
      </c>
      <c r="AA420" s="3"/>
      <c r="AB420" s="3"/>
      <c r="AC420" s="3"/>
      <c r="AD420" s="3"/>
      <c r="AE420" s="3"/>
      <c r="AF420" s="3"/>
      <c r="AG420" s="3"/>
      <c r="AH420" s="3"/>
      <c r="AI420" s="3"/>
      <c r="AJ420" s="3"/>
    </row>
    <row r="421" spans="1:36" x14ac:dyDescent="0.25">
      <c r="A421" s="10" t="s">
        <v>218</v>
      </c>
      <c r="B421" s="62"/>
      <c r="C421" s="63"/>
      <c r="D421" s="62"/>
      <c r="E421" s="63"/>
      <c r="F421" s="62"/>
      <c r="G421" s="63"/>
      <c r="H421" s="62"/>
      <c r="I421" s="63"/>
      <c r="J421" s="62"/>
      <c r="K421" s="62"/>
      <c r="L421" s="62"/>
      <c r="M421" s="62"/>
      <c r="N421" s="62"/>
      <c r="O421" s="62"/>
      <c r="P421" s="62"/>
      <c r="Q421" s="62"/>
      <c r="R421" s="62"/>
      <c r="S421" s="62"/>
      <c r="T421" s="62"/>
      <c r="U421" s="62"/>
      <c r="V421" s="62"/>
      <c r="W421" s="62"/>
      <c r="X421" s="62"/>
      <c r="Y421" s="62"/>
      <c r="Z421" s="2"/>
      <c r="AA421" s="3"/>
      <c r="AB421" s="3"/>
      <c r="AC421" s="3"/>
      <c r="AD421" s="3"/>
      <c r="AE421" s="3"/>
      <c r="AF421" s="3"/>
      <c r="AG421" s="3"/>
      <c r="AH421" s="3"/>
      <c r="AI421" s="3"/>
      <c r="AJ421" s="3"/>
    </row>
    <row r="422" spans="1:36" x14ac:dyDescent="0.25">
      <c r="A422" s="62" t="s">
        <v>227</v>
      </c>
      <c r="B422" s="62">
        <v>0</v>
      </c>
      <c r="C422" s="77">
        <v>0</v>
      </c>
      <c r="D422" s="62">
        <v>0</v>
      </c>
      <c r="E422" s="77">
        <v>0</v>
      </c>
      <c r="F422" s="62">
        <v>0</v>
      </c>
      <c r="G422" s="77">
        <v>0</v>
      </c>
      <c r="H422" s="62">
        <v>0</v>
      </c>
      <c r="I422" s="77">
        <v>0</v>
      </c>
      <c r="J422" s="62">
        <v>1</v>
      </c>
      <c r="K422" s="62">
        <v>2</v>
      </c>
      <c r="L422" s="62">
        <v>2</v>
      </c>
      <c r="M422" s="62">
        <v>3</v>
      </c>
      <c r="N422" s="62">
        <v>3</v>
      </c>
      <c r="O422" s="62">
        <v>7</v>
      </c>
      <c r="P422" s="62">
        <v>10</v>
      </c>
      <c r="Q422" s="62">
        <v>17</v>
      </c>
      <c r="R422" s="62">
        <v>31</v>
      </c>
      <c r="S422" s="62">
        <v>44</v>
      </c>
      <c r="T422" s="62">
        <v>51</v>
      </c>
      <c r="U422" s="62">
        <v>29</v>
      </c>
      <c r="V422" s="62">
        <v>13</v>
      </c>
      <c r="W422" s="62">
        <v>0</v>
      </c>
      <c r="X422" s="62">
        <v>0</v>
      </c>
      <c r="Y422" s="62">
        <v>0</v>
      </c>
      <c r="Z422" s="2">
        <v>5</v>
      </c>
      <c r="AA422" s="3"/>
      <c r="AB422" s="3"/>
      <c r="AC422" s="3"/>
      <c r="AD422" s="3"/>
      <c r="AE422" s="3"/>
      <c r="AF422" s="3"/>
      <c r="AG422" s="3"/>
      <c r="AH422" s="3"/>
      <c r="AI422" s="3"/>
      <c r="AJ422" s="3"/>
    </row>
    <row r="423" spans="1:36" x14ac:dyDescent="0.25">
      <c r="A423" s="62" t="s">
        <v>228</v>
      </c>
      <c r="B423" s="62">
        <v>0</v>
      </c>
      <c r="C423" s="77">
        <v>0</v>
      </c>
      <c r="D423" s="62">
        <v>0</v>
      </c>
      <c r="E423" s="77">
        <v>0</v>
      </c>
      <c r="F423" s="62">
        <v>0</v>
      </c>
      <c r="G423" s="77">
        <v>1</v>
      </c>
      <c r="H423" s="62">
        <v>2</v>
      </c>
      <c r="I423" s="77">
        <v>2</v>
      </c>
      <c r="J423" s="62">
        <v>1</v>
      </c>
      <c r="K423" s="62">
        <v>1</v>
      </c>
      <c r="L423" s="62">
        <v>1</v>
      </c>
      <c r="M423" s="62">
        <v>0</v>
      </c>
      <c r="N423" s="62">
        <v>0</v>
      </c>
      <c r="O423" s="62">
        <v>0</v>
      </c>
      <c r="P423" s="62">
        <v>0</v>
      </c>
      <c r="Q423" s="62">
        <v>0</v>
      </c>
      <c r="R423" s="62">
        <v>1</v>
      </c>
      <c r="S423" s="62">
        <v>2</v>
      </c>
      <c r="T423" s="62">
        <v>3</v>
      </c>
      <c r="U423" s="62">
        <v>1</v>
      </c>
      <c r="V423" s="62">
        <v>1</v>
      </c>
      <c r="W423" s="62">
        <v>0</v>
      </c>
      <c r="X423" s="62">
        <v>0</v>
      </c>
      <c r="Y423" s="62">
        <v>0</v>
      </c>
      <c r="Z423" s="2">
        <v>2</v>
      </c>
      <c r="AA423" s="3"/>
      <c r="AB423" s="3"/>
      <c r="AC423" s="3"/>
      <c r="AD423" s="3"/>
      <c r="AE423" s="3"/>
      <c r="AF423" s="3"/>
      <c r="AG423" s="3"/>
      <c r="AH423" s="3"/>
      <c r="AI423" s="3"/>
      <c r="AJ423" s="3"/>
    </row>
    <row r="424" spans="1:36" x14ac:dyDescent="0.25">
      <c r="A424" s="62" t="s">
        <v>234</v>
      </c>
      <c r="B424" s="62">
        <v>0</v>
      </c>
      <c r="C424" s="77">
        <v>0</v>
      </c>
      <c r="D424" s="62">
        <v>0</v>
      </c>
      <c r="E424" s="77">
        <v>0</v>
      </c>
      <c r="F424" s="62">
        <v>1</v>
      </c>
      <c r="G424" s="77">
        <v>6</v>
      </c>
      <c r="H424" s="62">
        <v>17</v>
      </c>
      <c r="I424" s="77">
        <v>19</v>
      </c>
      <c r="J424" s="62">
        <v>20</v>
      </c>
      <c r="K424" s="62">
        <v>21</v>
      </c>
      <c r="L424" s="62">
        <v>14</v>
      </c>
      <c r="M424" s="62">
        <v>13</v>
      </c>
      <c r="N424" s="62">
        <v>10</v>
      </c>
      <c r="O424" s="62">
        <v>18</v>
      </c>
      <c r="P424" s="62">
        <v>24</v>
      </c>
      <c r="Q424" s="62">
        <v>41</v>
      </c>
      <c r="R424" s="62">
        <v>77</v>
      </c>
      <c r="S424" s="62">
        <v>147</v>
      </c>
      <c r="T424" s="62">
        <v>181</v>
      </c>
      <c r="U424" s="62">
        <v>157</v>
      </c>
      <c r="V424" s="62">
        <v>96</v>
      </c>
      <c r="W424" s="62">
        <v>34</v>
      </c>
      <c r="X424" s="62">
        <v>9</v>
      </c>
      <c r="Y424" s="62">
        <v>3</v>
      </c>
      <c r="Z424" s="2">
        <v>21</v>
      </c>
      <c r="AA424" s="3"/>
      <c r="AB424" s="3"/>
      <c r="AC424" s="3"/>
      <c r="AD424" s="3"/>
      <c r="AE424" s="3"/>
      <c r="AF424" s="3"/>
      <c r="AG424" s="3"/>
      <c r="AH424" s="3"/>
      <c r="AI424" s="3"/>
      <c r="AJ424" s="3"/>
    </row>
    <row r="425" spans="1:36" x14ac:dyDescent="0.25">
      <c r="A425" s="10" t="s">
        <v>8</v>
      </c>
      <c r="B425" s="62"/>
      <c r="C425" s="63"/>
      <c r="D425" s="62"/>
      <c r="E425" s="63"/>
      <c r="F425" s="62"/>
      <c r="G425" s="63"/>
      <c r="H425" s="62"/>
      <c r="I425" s="63"/>
      <c r="J425" s="62"/>
      <c r="K425" s="62"/>
      <c r="L425" s="62"/>
      <c r="M425" s="62"/>
      <c r="N425" s="62"/>
      <c r="O425" s="62"/>
      <c r="P425" s="62"/>
      <c r="Q425" s="62"/>
      <c r="R425" s="62"/>
      <c r="S425" s="62"/>
      <c r="T425" s="62"/>
      <c r="U425" s="62"/>
      <c r="V425" s="62"/>
      <c r="W425" s="62"/>
      <c r="X425" s="62"/>
      <c r="Y425" s="62"/>
      <c r="Z425" s="2"/>
      <c r="AA425" s="3"/>
      <c r="AB425" s="3"/>
      <c r="AC425" s="3"/>
      <c r="AD425" s="3"/>
      <c r="AE425" s="3"/>
      <c r="AF425" s="3"/>
      <c r="AG425" s="3"/>
      <c r="AH425" s="3"/>
      <c r="AI425" s="3"/>
      <c r="AJ425" s="3"/>
    </row>
    <row r="426" spans="1:36" x14ac:dyDescent="0.25">
      <c r="A426" s="62" t="s">
        <v>229</v>
      </c>
      <c r="B426" s="62">
        <v>0</v>
      </c>
      <c r="C426" s="77">
        <v>0</v>
      </c>
      <c r="D426" s="62">
        <v>0</v>
      </c>
      <c r="E426" s="77">
        <v>0</v>
      </c>
      <c r="F426" s="62">
        <v>0</v>
      </c>
      <c r="G426" s="77">
        <v>0</v>
      </c>
      <c r="H426" s="62">
        <v>0</v>
      </c>
      <c r="I426" s="77">
        <v>1</v>
      </c>
      <c r="J426" s="62">
        <v>1</v>
      </c>
      <c r="K426" s="62">
        <v>1</v>
      </c>
      <c r="L426" s="62">
        <v>0</v>
      </c>
      <c r="M426" s="62">
        <v>0</v>
      </c>
      <c r="N426" s="62">
        <v>1</v>
      </c>
      <c r="O426" s="62">
        <v>4</v>
      </c>
      <c r="P426" s="62">
        <v>2</v>
      </c>
      <c r="Q426" s="62">
        <v>9</v>
      </c>
      <c r="R426" s="62">
        <v>19</v>
      </c>
      <c r="S426" s="62">
        <v>33</v>
      </c>
      <c r="T426" s="62">
        <v>35</v>
      </c>
      <c r="U426" s="62">
        <v>26</v>
      </c>
      <c r="V426" s="62">
        <v>9</v>
      </c>
      <c r="W426" s="62">
        <v>5</v>
      </c>
      <c r="X426" s="62">
        <v>1</v>
      </c>
      <c r="Y426" s="62">
        <v>0</v>
      </c>
      <c r="Z426" s="2">
        <v>1</v>
      </c>
      <c r="AA426" s="3"/>
      <c r="AB426" s="3"/>
      <c r="AC426" s="3"/>
      <c r="AD426" s="3"/>
      <c r="AE426" s="3"/>
      <c r="AF426" s="3"/>
      <c r="AG426" s="3"/>
      <c r="AH426" s="3"/>
      <c r="AI426" s="3"/>
      <c r="AJ426" s="3"/>
    </row>
    <row r="427" spans="1:36" ht="12" customHeight="1" x14ac:dyDescent="0.25">
      <c r="A427" s="62" t="s">
        <v>228</v>
      </c>
      <c r="B427" s="62">
        <v>0</v>
      </c>
      <c r="C427" s="77">
        <v>0</v>
      </c>
      <c r="D427" s="62">
        <v>0</v>
      </c>
      <c r="E427" s="77">
        <v>0</v>
      </c>
      <c r="F427" s="62">
        <v>0</v>
      </c>
      <c r="G427" s="77">
        <v>0</v>
      </c>
      <c r="H427" s="62">
        <v>0</v>
      </c>
      <c r="I427" s="77">
        <v>0</v>
      </c>
      <c r="J427" s="62">
        <v>0</v>
      </c>
      <c r="K427" s="62">
        <v>0</v>
      </c>
      <c r="L427" s="62">
        <v>0</v>
      </c>
      <c r="M427" s="62">
        <v>0</v>
      </c>
      <c r="N427" s="62">
        <v>0</v>
      </c>
      <c r="O427" s="62">
        <v>0</v>
      </c>
      <c r="P427" s="62">
        <v>0</v>
      </c>
      <c r="Q427" s="62">
        <v>0</v>
      </c>
      <c r="R427" s="62">
        <v>2</v>
      </c>
      <c r="S427" s="62">
        <v>1</v>
      </c>
      <c r="T427" s="62">
        <v>1</v>
      </c>
      <c r="U427" s="62">
        <v>1</v>
      </c>
      <c r="V427" s="62">
        <v>1</v>
      </c>
      <c r="W427" s="62">
        <v>0</v>
      </c>
      <c r="X427" s="62">
        <v>0</v>
      </c>
      <c r="Y427" s="62">
        <v>0</v>
      </c>
      <c r="Z427" s="2">
        <v>0</v>
      </c>
      <c r="AA427" s="3"/>
      <c r="AB427" s="3"/>
      <c r="AC427" s="3"/>
      <c r="AD427" s="3"/>
      <c r="AE427" s="3"/>
      <c r="AF427" s="3"/>
      <c r="AG427" s="3"/>
      <c r="AH427" s="3"/>
      <c r="AI427" s="3"/>
      <c r="AJ427" s="3"/>
    </row>
    <row r="428" spans="1:36" ht="12" customHeight="1" x14ac:dyDescent="0.25">
      <c r="A428" s="62" t="s">
        <v>235</v>
      </c>
      <c r="B428" s="62">
        <v>2</v>
      </c>
      <c r="C428" s="77">
        <v>1</v>
      </c>
      <c r="D428" s="62">
        <v>1</v>
      </c>
      <c r="E428" s="77">
        <v>1</v>
      </c>
      <c r="F428" s="62">
        <v>1</v>
      </c>
      <c r="G428" s="77">
        <v>4</v>
      </c>
      <c r="H428" s="62">
        <v>9</v>
      </c>
      <c r="I428" s="77">
        <v>15</v>
      </c>
      <c r="J428" s="62">
        <v>15</v>
      </c>
      <c r="K428" s="62">
        <v>13</v>
      </c>
      <c r="L428" s="62">
        <v>10</v>
      </c>
      <c r="M428" s="62">
        <v>6</v>
      </c>
      <c r="N428" s="62">
        <v>7</v>
      </c>
      <c r="O428" s="62">
        <v>8</v>
      </c>
      <c r="P428" s="62">
        <v>11</v>
      </c>
      <c r="Q428" s="62">
        <v>22</v>
      </c>
      <c r="R428" s="62">
        <v>44</v>
      </c>
      <c r="S428" s="62">
        <v>85</v>
      </c>
      <c r="T428" s="62">
        <v>93</v>
      </c>
      <c r="U428" s="62">
        <v>92</v>
      </c>
      <c r="V428" s="62">
        <v>58</v>
      </c>
      <c r="W428" s="62">
        <v>23</v>
      </c>
      <c r="X428" s="62">
        <v>9</v>
      </c>
      <c r="Y428" s="62">
        <v>3</v>
      </c>
      <c r="Z428" s="2">
        <v>7</v>
      </c>
      <c r="AA428" s="3"/>
      <c r="AB428" s="3"/>
      <c r="AC428" s="3"/>
      <c r="AD428" s="3"/>
      <c r="AE428" s="3"/>
      <c r="AF428" s="3"/>
      <c r="AG428" s="3"/>
      <c r="AH428" s="3"/>
      <c r="AI428" s="3"/>
      <c r="AJ428" s="3"/>
    </row>
    <row r="429" spans="1:36" ht="17.25" customHeight="1" x14ac:dyDescent="0.25">
      <c r="A429" s="30" t="s">
        <v>9</v>
      </c>
      <c r="B429" s="62"/>
      <c r="C429" s="63"/>
      <c r="D429" s="62"/>
      <c r="E429" s="77"/>
      <c r="F429" s="62"/>
      <c r="G429" s="63"/>
      <c r="H429" s="62"/>
      <c r="I429" s="63"/>
      <c r="J429" s="62"/>
      <c r="K429" s="62"/>
      <c r="L429" s="62"/>
      <c r="M429" s="62"/>
      <c r="N429" s="62"/>
      <c r="O429" s="62"/>
      <c r="P429" s="62"/>
      <c r="Q429" s="62"/>
      <c r="R429" s="62"/>
      <c r="S429" s="62"/>
      <c r="T429" s="62"/>
      <c r="U429" s="62"/>
      <c r="V429" s="62"/>
      <c r="W429" s="62"/>
      <c r="X429" s="62"/>
      <c r="Y429" s="62"/>
      <c r="Z429" s="2"/>
      <c r="AA429" s="3"/>
      <c r="AB429" s="3"/>
      <c r="AC429" s="3"/>
      <c r="AD429" s="3"/>
      <c r="AE429" s="3"/>
      <c r="AF429" s="3"/>
      <c r="AG429" s="3"/>
      <c r="AH429" s="3"/>
      <c r="AI429" s="3"/>
      <c r="AJ429" s="3"/>
    </row>
    <row r="430" spans="1:36" x14ac:dyDescent="0.25">
      <c r="A430" s="62" t="s">
        <v>230</v>
      </c>
      <c r="B430" s="62">
        <v>0</v>
      </c>
      <c r="C430" s="77">
        <v>0</v>
      </c>
      <c r="D430" s="62">
        <v>0</v>
      </c>
      <c r="E430" s="77">
        <v>1</v>
      </c>
      <c r="F430" s="62">
        <v>0</v>
      </c>
      <c r="G430" s="77">
        <v>0</v>
      </c>
      <c r="H430" s="62">
        <v>0</v>
      </c>
      <c r="I430" s="77">
        <v>2</v>
      </c>
      <c r="J430" s="62">
        <v>2</v>
      </c>
      <c r="K430" s="62">
        <v>2</v>
      </c>
      <c r="L430" s="62">
        <v>1</v>
      </c>
      <c r="M430" s="62">
        <v>1</v>
      </c>
      <c r="N430" s="62">
        <v>0</v>
      </c>
      <c r="O430" s="62">
        <v>0</v>
      </c>
      <c r="P430" s="62">
        <v>4</v>
      </c>
      <c r="Q430" s="62">
        <v>13</v>
      </c>
      <c r="R430" s="62">
        <v>26</v>
      </c>
      <c r="S430" s="62">
        <v>50</v>
      </c>
      <c r="T430" s="62">
        <v>53</v>
      </c>
      <c r="U430" s="62">
        <v>35</v>
      </c>
      <c r="V430" s="62">
        <v>13</v>
      </c>
      <c r="W430" s="62">
        <v>2</v>
      </c>
      <c r="X430" s="62">
        <v>0</v>
      </c>
      <c r="Y430" s="62">
        <v>0</v>
      </c>
      <c r="Z430" s="2">
        <v>7</v>
      </c>
      <c r="AA430" s="3"/>
      <c r="AB430" s="3"/>
      <c r="AC430" s="3"/>
      <c r="AD430" s="3"/>
      <c r="AE430" s="3"/>
      <c r="AF430" s="3"/>
      <c r="AG430" s="3"/>
      <c r="AH430" s="3"/>
      <c r="AI430" s="3"/>
      <c r="AJ430" s="3"/>
    </row>
    <row r="431" spans="1:36" x14ac:dyDescent="0.25">
      <c r="A431" s="62" t="s">
        <v>231</v>
      </c>
      <c r="B431" s="62">
        <v>1</v>
      </c>
      <c r="C431" s="77">
        <v>1</v>
      </c>
      <c r="D431" s="62">
        <v>1</v>
      </c>
      <c r="E431" s="77">
        <v>1</v>
      </c>
      <c r="F431" s="62">
        <v>1</v>
      </c>
      <c r="G431" s="77">
        <v>1</v>
      </c>
      <c r="H431" s="62">
        <v>1</v>
      </c>
      <c r="I431" s="77">
        <v>1</v>
      </c>
      <c r="J431" s="62">
        <v>0</v>
      </c>
      <c r="K431" s="62">
        <v>2</v>
      </c>
      <c r="L431" s="62">
        <v>2</v>
      </c>
      <c r="M431" s="62">
        <v>2</v>
      </c>
      <c r="N431" s="62">
        <v>2</v>
      </c>
      <c r="O431" s="62">
        <v>1</v>
      </c>
      <c r="P431" s="62">
        <v>1</v>
      </c>
      <c r="Q431" s="62">
        <v>1</v>
      </c>
      <c r="R431" s="62">
        <v>2</v>
      </c>
      <c r="S431" s="62">
        <v>4</v>
      </c>
      <c r="T431" s="62">
        <v>4</v>
      </c>
      <c r="U431" s="62">
        <v>5</v>
      </c>
      <c r="V431" s="62">
        <v>3</v>
      </c>
      <c r="W431" s="62">
        <v>1</v>
      </c>
      <c r="X431" s="62">
        <v>1</v>
      </c>
      <c r="Y431" s="62">
        <v>1</v>
      </c>
      <c r="Z431" s="2">
        <v>2</v>
      </c>
      <c r="AA431" s="3"/>
      <c r="AB431" s="3"/>
      <c r="AC431" s="3"/>
      <c r="AD431" s="3"/>
      <c r="AE431" s="3"/>
      <c r="AF431" s="3"/>
      <c r="AG431" s="3"/>
      <c r="AH431" s="3"/>
      <c r="AI431" s="3"/>
      <c r="AJ431" s="3"/>
    </row>
    <row r="432" spans="1:36" x14ac:dyDescent="0.25">
      <c r="A432" s="62" t="s">
        <v>236</v>
      </c>
      <c r="B432" s="62">
        <v>1</v>
      </c>
      <c r="C432" s="77">
        <v>2</v>
      </c>
      <c r="D432" s="62">
        <v>1</v>
      </c>
      <c r="E432" s="77">
        <v>0</v>
      </c>
      <c r="F432" s="62">
        <v>1</v>
      </c>
      <c r="G432" s="77">
        <v>4</v>
      </c>
      <c r="H432" s="62">
        <v>13</v>
      </c>
      <c r="I432" s="77">
        <v>14</v>
      </c>
      <c r="J432" s="62">
        <v>26</v>
      </c>
      <c r="K432" s="62">
        <v>21</v>
      </c>
      <c r="L432" s="62">
        <v>16</v>
      </c>
      <c r="M432" s="62">
        <v>18</v>
      </c>
      <c r="N432" s="62">
        <v>14</v>
      </c>
      <c r="O432" s="62">
        <v>12</v>
      </c>
      <c r="P432" s="62">
        <v>21</v>
      </c>
      <c r="Q432" s="62">
        <v>43</v>
      </c>
      <c r="R432" s="62">
        <v>75</v>
      </c>
      <c r="S432" s="62">
        <v>112</v>
      </c>
      <c r="T432" s="62">
        <v>126</v>
      </c>
      <c r="U432" s="62">
        <v>89</v>
      </c>
      <c r="V432" s="62">
        <v>45</v>
      </c>
      <c r="W432" s="62">
        <v>15</v>
      </c>
      <c r="X432" s="62">
        <v>3</v>
      </c>
      <c r="Y432" s="62">
        <v>1</v>
      </c>
      <c r="Z432" s="2">
        <v>21</v>
      </c>
      <c r="AA432" s="3"/>
      <c r="AB432" s="3"/>
      <c r="AC432" s="3"/>
      <c r="AD432" s="3"/>
      <c r="AE432" s="3"/>
      <c r="AF432" s="3"/>
      <c r="AG432" s="3"/>
      <c r="AH432" s="3"/>
      <c r="AI432" s="3"/>
      <c r="AJ432" s="3"/>
    </row>
    <row r="433" spans="1:36" x14ac:dyDescent="0.25">
      <c r="A433" s="30" t="s">
        <v>173</v>
      </c>
      <c r="B433" s="62"/>
      <c r="C433" s="63"/>
      <c r="D433" s="62"/>
      <c r="E433" s="77"/>
      <c r="F433" s="62"/>
      <c r="G433" s="63"/>
      <c r="H433" s="62"/>
      <c r="I433" s="63"/>
      <c r="J433" s="62"/>
      <c r="K433" s="62"/>
      <c r="L433" s="62"/>
      <c r="M433" s="62"/>
      <c r="N433" s="62"/>
      <c r="O433" s="62"/>
      <c r="P433" s="62"/>
      <c r="Q433" s="62"/>
      <c r="R433" s="62"/>
      <c r="S433" s="62"/>
      <c r="T433" s="62"/>
      <c r="U433" s="62"/>
      <c r="V433" s="62"/>
      <c r="W433" s="62"/>
      <c r="X433" s="62"/>
      <c r="Y433" s="62"/>
      <c r="Z433" s="2"/>
      <c r="AA433" s="3"/>
      <c r="AB433" s="3"/>
      <c r="AC433" s="3"/>
      <c r="AD433" s="3"/>
      <c r="AE433" s="3"/>
      <c r="AF433" s="3"/>
      <c r="AG433" s="3"/>
      <c r="AH433" s="3"/>
      <c r="AI433" s="3"/>
      <c r="AJ433" s="3"/>
    </row>
    <row r="434" spans="1:36" x14ac:dyDescent="0.25">
      <c r="A434" s="62" t="s">
        <v>233</v>
      </c>
      <c r="B434" s="62">
        <f>(B422+B426+B430)</f>
        <v>0</v>
      </c>
      <c r="C434" s="62">
        <f t="shared" ref="C434:Z434" si="101">(C422+C426+C430)</f>
        <v>0</v>
      </c>
      <c r="D434" s="62">
        <f t="shared" si="101"/>
        <v>0</v>
      </c>
      <c r="E434" s="62">
        <f t="shared" si="101"/>
        <v>1</v>
      </c>
      <c r="F434" s="62">
        <f t="shared" si="101"/>
        <v>0</v>
      </c>
      <c r="G434" s="62">
        <f t="shared" si="101"/>
        <v>0</v>
      </c>
      <c r="H434" s="62">
        <f t="shared" si="101"/>
        <v>0</v>
      </c>
      <c r="I434" s="62">
        <f t="shared" si="101"/>
        <v>3</v>
      </c>
      <c r="J434" s="62">
        <f t="shared" si="101"/>
        <v>4</v>
      </c>
      <c r="K434" s="62">
        <f t="shared" si="101"/>
        <v>5</v>
      </c>
      <c r="L434" s="62">
        <f t="shared" si="101"/>
        <v>3</v>
      </c>
      <c r="M434" s="62">
        <f t="shared" si="101"/>
        <v>4</v>
      </c>
      <c r="N434" s="62">
        <f t="shared" si="101"/>
        <v>4</v>
      </c>
      <c r="O434" s="62">
        <f t="shared" si="101"/>
        <v>11</v>
      </c>
      <c r="P434" s="62">
        <f t="shared" si="101"/>
        <v>16</v>
      </c>
      <c r="Q434" s="62">
        <f t="shared" si="101"/>
        <v>39</v>
      </c>
      <c r="R434" s="62">
        <f t="shared" si="101"/>
        <v>76</v>
      </c>
      <c r="S434" s="62">
        <f t="shared" si="101"/>
        <v>127</v>
      </c>
      <c r="T434" s="62">
        <f t="shared" si="101"/>
        <v>139</v>
      </c>
      <c r="U434" s="62">
        <f t="shared" si="101"/>
        <v>90</v>
      </c>
      <c r="V434" s="62">
        <f t="shared" si="101"/>
        <v>35</v>
      </c>
      <c r="W434" s="62">
        <f t="shared" si="101"/>
        <v>7</v>
      </c>
      <c r="X434" s="62">
        <f t="shared" si="101"/>
        <v>1</v>
      </c>
      <c r="Y434" s="62">
        <f t="shared" si="101"/>
        <v>0</v>
      </c>
      <c r="Z434" s="2">
        <f t="shared" si="101"/>
        <v>13</v>
      </c>
      <c r="AA434" s="3"/>
      <c r="AB434" s="3"/>
      <c r="AC434" s="3"/>
      <c r="AD434" s="3"/>
      <c r="AE434" s="3"/>
      <c r="AF434" s="3"/>
      <c r="AG434" s="3"/>
      <c r="AH434" s="3"/>
      <c r="AI434" s="3"/>
      <c r="AJ434" s="3"/>
    </row>
    <row r="435" spans="1:36" x14ac:dyDescent="0.25">
      <c r="A435" s="62" t="s">
        <v>232</v>
      </c>
      <c r="B435" s="62">
        <f>(B423+B427+B431)</f>
        <v>1</v>
      </c>
      <c r="C435" s="62">
        <f t="shared" ref="C435:Z435" si="102">(C423+C427+C431)</f>
        <v>1</v>
      </c>
      <c r="D435" s="62">
        <f t="shared" si="102"/>
        <v>1</v>
      </c>
      <c r="E435" s="62">
        <f t="shared" si="102"/>
        <v>1</v>
      </c>
      <c r="F435" s="62">
        <f t="shared" si="102"/>
        <v>1</v>
      </c>
      <c r="G435" s="62">
        <f t="shared" si="102"/>
        <v>2</v>
      </c>
      <c r="H435" s="62">
        <f t="shared" si="102"/>
        <v>3</v>
      </c>
      <c r="I435" s="62">
        <f t="shared" si="102"/>
        <v>3</v>
      </c>
      <c r="J435" s="62">
        <f t="shared" si="102"/>
        <v>1</v>
      </c>
      <c r="K435" s="62">
        <f t="shared" si="102"/>
        <v>3</v>
      </c>
      <c r="L435" s="62">
        <f t="shared" si="102"/>
        <v>3</v>
      </c>
      <c r="M435" s="62">
        <f t="shared" si="102"/>
        <v>2</v>
      </c>
      <c r="N435" s="62">
        <f t="shared" si="102"/>
        <v>2</v>
      </c>
      <c r="O435" s="62">
        <f t="shared" si="102"/>
        <v>1</v>
      </c>
      <c r="P435" s="62">
        <f t="shared" si="102"/>
        <v>1</v>
      </c>
      <c r="Q435" s="62">
        <f t="shared" si="102"/>
        <v>1</v>
      </c>
      <c r="R435" s="62">
        <f t="shared" si="102"/>
        <v>5</v>
      </c>
      <c r="S435" s="62">
        <f t="shared" si="102"/>
        <v>7</v>
      </c>
      <c r="T435" s="62">
        <f t="shared" si="102"/>
        <v>8</v>
      </c>
      <c r="U435" s="62">
        <f t="shared" si="102"/>
        <v>7</v>
      </c>
      <c r="V435" s="62">
        <f t="shared" si="102"/>
        <v>5</v>
      </c>
      <c r="W435" s="62">
        <f t="shared" si="102"/>
        <v>1</v>
      </c>
      <c r="X435" s="62">
        <f t="shared" si="102"/>
        <v>1</v>
      </c>
      <c r="Y435" s="62">
        <f t="shared" si="102"/>
        <v>1</v>
      </c>
      <c r="Z435" s="2">
        <f t="shared" si="102"/>
        <v>4</v>
      </c>
      <c r="AA435" s="3"/>
      <c r="AB435" s="3"/>
      <c r="AC435" s="3"/>
      <c r="AD435" s="3"/>
      <c r="AE435" s="3"/>
      <c r="AF435" s="3"/>
      <c r="AG435" s="3"/>
      <c r="AH435" s="3"/>
      <c r="AI435" s="3"/>
      <c r="AJ435" s="3"/>
    </row>
    <row r="436" spans="1:36" x14ac:dyDescent="0.25">
      <c r="A436" s="111" t="s">
        <v>217</v>
      </c>
      <c r="B436" s="62">
        <f>(B424+B428+B432)</f>
        <v>3</v>
      </c>
      <c r="C436" s="62">
        <f t="shared" ref="C436:Z436" si="103">(C424+C428+C432)</f>
        <v>3</v>
      </c>
      <c r="D436" s="62">
        <f t="shared" si="103"/>
        <v>2</v>
      </c>
      <c r="E436" s="62">
        <f t="shared" si="103"/>
        <v>1</v>
      </c>
      <c r="F436" s="62">
        <f t="shared" si="103"/>
        <v>3</v>
      </c>
      <c r="G436" s="62">
        <f t="shared" si="103"/>
        <v>14</v>
      </c>
      <c r="H436" s="62">
        <f t="shared" si="103"/>
        <v>39</v>
      </c>
      <c r="I436" s="62">
        <f t="shared" si="103"/>
        <v>48</v>
      </c>
      <c r="J436" s="62">
        <f t="shared" si="103"/>
        <v>61</v>
      </c>
      <c r="K436" s="62">
        <f t="shared" si="103"/>
        <v>55</v>
      </c>
      <c r="L436" s="62">
        <f t="shared" si="103"/>
        <v>40</v>
      </c>
      <c r="M436" s="62">
        <f t="shared" si="103"/>
        <v>37</v>
      </c>
      <c r="N436" s="62">
        <f t="shared" si="103"/>
        <v>31</v>
      </c>
      <c r="O436" s="62">
        <f t="shared" si="103"/>
        <v>38</v>
      </c>
      <c r="P436" s="62">
        <f t="shared" si="103"/>
        <v>56</v>
      </c>
      <c r="Q436" s="62">
        <f t="shared" si="103"/>
        <v>106</v>
      </c>
      <c r="R436" s="62">
        <f t="shared" si="103"/>
        <v>196</v>
      </c>
      <c r="S436" s="62">
        <f t="shared" si="103"/>
        <v>344</v>
      </c>
      <c r="T436" s="62">
        <f t="shared" si="103"/>
        <v>400</v>
      </c>
      <c r="U436" s="62">
        <f t="shared" si="103"/>
        <v>338</v>
      </c>
      <c r="V436" s="62">
        <f t="shared" si="103"/>
        <v>199</v>
      </c>
      <c r="W436" s="62">
        <f t="shared" si="103"/>
        <v>72</v>
      </c>
      <c r="X436" s="62">
        <f t="shared" si="103"/>
        <v>21</v>
      </c>
      <c r="Y436" s="62">
        <f t="shared" si="103"/>
        <v>7</v>
      </c>
      <c r="Z436" s="2">
        <f t="shared" si="103"/>
        <v>49</v>
      </c>
      <c r="AA436" s="3"/>
      <c r="AB436" s="3"/>
      <c r="AC436" s="3"/>
      <c r="AD436" s="3"/>
      <c r="AE436" s="3"/>
      <c r="AF436" s="3"/>
      <c r="AG436" s="3"/>
      <c r="AH436" s="3"/>
      <c r="AI436" s="3"/>
      <c r="AJ436" s="3"/>
    </row>
    <row r="438" spans="1:36" x14ac:dyDescent="0.25">
      <c r="A438" s="96"/>
      <c r="B438" s="36"/>
      <c r="C438" s="37"/>
      <c r="D438" s="36"/>
      <c r="E438" s="37"/>
      <c r="F438" s="36"/>
      <c r="G438" s="37"/>
      <c r="H438" s="36"/>
      <c r="I438" s="37"/>
    </row>
    <row r="439" spans="1:36" x14ac:dyDescent="0.25">
      <c r="A439" s="38" t="s">
        <v>267</v>
      </c>
      <c r="B439" s="36"/>
      <c r="C439" s="37"/>
      <c r="D439" s="36"/>
      <c r="E439" s="37"/>
      <c r="F439" s="36"/>
      <c r="G439" s="37"/>
      <c r="H439" s="36"/>
      <c r="I439" s="37"/>
    </row>
    <row r="440" spans="1:36" x14ac:dyDescent="0.25">
      <c r="A440" s="112" t="s">
        <v>268</v>
      </c>
      <c r="B440" s="36"/>
      <c r="C440" s="37"/>
      <c r="D440" s="36"/>
      <c r="E440" s="37"/>
      <c r="F440" s="36"/>
      <c r="G440" s="37"/>
      <c r="H440" s="36"/>
      <c r="I440" s="37"/>
    </row>
    <row r="441" spans="1:36" x14ac:dyDescent="0.25">
      <c r="A441" s="96"/>
      <c r="B441" s="36"/>
      <c r="C441" s="37"/>
      <c r="D441" s="36"/>
      <c r="E441" s="37"/>
      <c r="F441" s="36"/>
      <c r="G441" s="37"/>
      <c r="H441" s="36"/>
      <c r="I441" s="37"/>
    </row>
    <row r="442" spans="1:36" x14ac:dyDescent="0.25">
      <c r="A442" s="95"/>
      <c r="B442" s="113" t="s">
        <v>269</v>
      </c>
      <c r="C442" s="113" t="s">
        <v>270</v>
      </c>
      <c r="D442" s="36"/>
      <c r="E442" s="37"/>
      <c r="F442" s="36"/>
      <c r="G442" s="37"/>
      <c r="H442" s="36"/>
      <c r="I442" s="37"/>
    </row>
    <row r="443" spans="1:36" x14ac:dyDescent="0.25">
      <c r="A443" s="95"/>
      <c r="B443" s="113" t="s">
        <v>6</v>
      </c>
      <c r="C443" s="113" t="s">
        <v>6</v>
      </c>
      <c r="D443" s="36"/>
      <c r="E443" s="37"/>
      <c r="F443" s="36"/>
      <c r="G443" s="37"/>
      <c r="H443" s="36"/>
      <c r="I443" s="37"/>
    </row>
    <row r="444" spans="1:36" x14ac:dyDescent="0.25">
      <c r="A444" s="95" t="s">
        <v>271</v>
      </c>
      <c r="B444" s="62">
        <v>21.74</v>
      </c>
      <c r="C444" s="63">
        <v>43.87</v>
      </c>
      <c r="D444" s="36"/>
      <c r="E444" s="37"/>
      <c r="F444" s="36"/>
      <c r="G444" s="37"/>
      <c r="H444" s="36"/>
      <c r="I444" s="37"/>
    </row>
    <row r="445" spans="1:36" x14ac:dyDescent="0.25">
      <c r="A445" s="95" t="s">
        <v>8</v>
      </c>
      <c r="B445" s="62">
        <v>22.56</v>
      </c>
      <c r="C445" s="63">
        <v>45.9</v>
      </c>
      <c r="D445" s="36"/>
      <c r="E445" s="37"/>
      <c r="F445" s="36"/>
      <c r="G445" s="37"/>
      <c r="H445" s="36"/>
      <c r="I445" s="37"/>
    </row>
    <row r="446" spans="1:36" x14ac:dyDescent="0.25">
      <c r="A446" s="95" t="s">
        <v>9</v>
      </c>
      <c r="B446" s="62">
        <v>20.73</v>
      </c>
      <c r="C446" s="63">
        <v>39.479999999999997</v>
      </c>
      <c r="D446" s="36"/>
      <c r="E446" s="37"/>
      <c r="F446" s="36"/>
      <c r="G446" s="37"/>
      <c r="H446" s="36"/>
      <c r="I446" s="37"/>
    </row>
    <row r="447" spans="1:36" x14ac:dyDescent="0.25">
      <c r="A447" s="95" t="s">
        <v>173</v>
      </c>
      <c r="B447" s="62">
        <v>21.62</v>
      </c>
      <c r="C447" s="63">
        <v>42.95</v>
      </c>
      <c r="D447" s="36"/>
      <c r="E447" s="37"/>
      <c r="F447" s="36"/>
      <c r="G447" s="37"/>
      <c r="H447" s="36"/>
      <c r="I447" s="37"/>
    </row>
    <row r="448" spans="1:36" x14ac:dyDescent="0.25">
      <c r="A448" s="96"/>
      <c r="B448" s="36"/>
      <c r="C448" s="37"/>
      <c r="D448" s="36"/>
      <c r="E448" s="37"/>
      <c r="F448" s="36"/>
      <c r="G448" s="37"/>
      <c r="H448" s="36"/>
      <c r="I448" s="37"/>
    </row>
    <row r="450" spans="1:11" ht="12" customHeight="1" x14ac:dyDescent="0.25">
      <c r="A450" s="1" t="s">
        <v>98</v>
      </c>
    </row>
    <row r="451" spans="1:11" ht="12" customHeight="1" x14ac:dyDescent="0.25">
      <c r="A451" s="1"/>
    </row>
    <row r="452" spans="1:11" x14ac:dyDescent="0.25">
      <c r="A452" s="62"/>
      <c r="B452" s="62" t="s">
        <v>7</v>
      </c>
      <c r="C452" s="63"/>
      <c r="D452" s="62" t="s">
        <v>8</v>
      </c>
      <c r="E452" s="63"/>
      <c r="F452" s="62" t="s">
        <v>9</v>
      </c>
      <c r="G452" s="63"/>
      <c r="H452" s="62" t="s">
        <v>10</v>
      </c>
      <c r="I452" s="63"/>
    </row>
    <row r="453" spans="1:11" x14ac:dyDescent="0.25">
      <c r="A453" s="62"/>
      <c r="B453" s="62" t="s">
        <v>5</v>
      </c>
      <c r="C453" s="63" t="s">
        <v>6</v>
      </c>
      <c r="D453" s="62" t="s">
        <v>5</v>
      </c>
      <c r="E453" s="63" t="s">
        <v>6</v>
      </c>
      <c r="F453" s="62" t="s">
        <v>5</v>
      </c>
      <c r="G453" s="63" t="s">
        <v>6</v>
      </c>
      <c r="H453" s="62" t="s">
        <v>5</v>
      </c>
      <c r="I453" s="63" t="s">
        <v>6</v>
      </c>
    </row>
    <row r="454" spans="1:11" x14ac:dyDescent="0.25">
      <c r="A454" s="95" t="s">
        <v>99</v>
      </c>
      <c r="B454" s="98">
        <v>285</v>
      </c>
      <c r="C454" s="63">
        <f>(B454/319)*100</f>
        <v>89.341692789968647</v>
      </c>
      <c r="D454" s="62">
        <v>191</v>
      </c>
      <c r="E454" s="63">
        <f>(D454/212)*100</f>
        <v>90.094339622641513</v>
      </c>
      <c r="F454" s="62">
        <v>242</v>
      </c>
      <c r="G454" s="63">
        <f>(F454/276)*100</f>
        <v>87.681159420289859</v>
      </c>
      <c r="H454" s="62">
        <f t="shared" ref="H454:H461" si="104">(B454+D454+F454)</f>
        <v>718</v>
      </c>
      <c r="I454" s="63">
        <f>(H454/807)*100</f>
        <v>88.971499380421321</v>
      </c>
    </row>
    <row r="455" spans="1:11" x14ac:dyDescent="0.25">
      <c r="A455" s="95" t="s">
        <v>100</v>
      </c>
      <c r="B455" s="98">
        <v>6</v>
      </c>
      <c r="C455" s="63">
        <f t="shared" ref="C455:C461" si="105">(B455/319)*100</f>
        <v>1.8808777429467085</v>
      </c>
      <c r="D455" s="62">
        <v>2</v>
      </c>
      <c r="E455" s="63">
        <f t="shared" ref="E455:E461" si="106">(D455/212)*100</f>
        <v>0.94339622641509435</v>
      </c>
      <c r="F455" s="62">
        <v>2</v>
      </c>
      <c r="G455" s="63">
        <f t="shared" ref="G455:G461" si="107">(F455/276)*100</f>
        <v>0.72463768115942029</v>
      </c>
      <c r="H455" s="62">
        <f t="shared" si="104"/>
        <v>10</v>
      </c>
      <c r="I455" s="63">
        <f t="shared" ref="I455:I461" si="108">(H455/807)*100</f>
        <v>1.2391573729863694</v>
      </c>
    </row>
    <row r="456" spans="1:11" x14ac:dyDescent="0.25">
      <c r="A456" s="95" t="s">
        <v>101</v>
      </c>
      <c r="B456" s="98">
        <v>215</v>
      </c>
      <c r="C456" s="63">
        <f t="shared" si="105"/>
        <v>67.398119122257043</v>
      </c>
      <c r="D456" s="62">
        <v>131</v>
      </c>
      <c r="E456" s="63">
        <f t="shared" si="106"/>
        <v>61.79245283018868</v>
      </c>
      <c r="F456" s="62">
        <v>182</v>
      </c>
      <c r="G456" s="63">
        <f t="shared" si="107"/>
        <v>65.94202898550725</v>
      </c>
      <c r="H456" s="62">
        <f t="shared" si="104"/>
        <v>528</v>
      </c>
      <c r="I456" s="63">
        <f t="shared" si="108"/>
        <v>65.427509293680302</v>
      </c>
    </row>
    <row r="457" spans="1:11" x14ac:dyDescent="0.25">
      <c r="A457" s="95" t="s">
        <v>102</v>
      </c>
      <c r="B457" s="98">
        <v>13</v>
      </c>
      <c r="C457" s="63">
        <f t="shared" si="105"/>
        <v>4.0752351097178678</v>
      </c>
      <c r="D457" s="62">
        <v>6</v>
      </c>
      <c r="E457" s="63">
        <f t="shared" si="106"/>
        <v>2.8301886792452833</v>
      </c>
      <c r="F457" s="62">
        <v>3</v>
      </c>
      <c r="G457" s="63">
        <f t="shared" si="107"/>
        <v>1.0869565217391304</v>
      </c>
      <c r="H457" s="62">
        <f t="shared" si="104"/>
        <v>22</v>
      </c>
      <c r="I457" s="63">
        <f t="shared" si="108"/>
        <v>2.7261462205700124</v>
      </c>
    </row>
    <row r="458" spans="1:11" x14ac:dyDescent="0.25">
      <c r="A458" s="95" t="s">
        <v>103</v>
      </c>
      <c r="B458" s="98">
        <v>9</v>
      </c>
      <c r="C458" s="63">
        <f t="shared" si="105"/>
        <v>2.8213166144200628</v>
      </c>
      <c r="D458" s="62">
        <v>4</v>
      </c>
      <c r="E458" s="63">
        <f t="shared" si="106"/>
        <v>1.8867924528301887</v>
      </c>
      <c r="F458" s="62">
        <v>6</v>
      </c>
      <c r="G458" s="63">
        <f t="shared" si="107"/>
        <v>2.1739130434782608</v>
      </c>
      <c r="H458" s="62">
        <f t="shared" si="104"/>
        <v>19</v>
      </c>
      <c r="I458" s="63">
        <f t="shared" si="108"/>
        <v>2.3543990086741013</v>
      </c>
    </row>
    <row r="459" spans="1:11" ht="30.75" customHeight="1" x14ac:dyDescent="0.25">
      <c r="A459" s="95" t="s">
        <v>104</v>
      </c>
      <c r="B459" s="98">
        <v>5</v>
      </c>
      <c r="C459" s="63">
        <f t="shared" si="105"/>
        <v>1.5673981191222568</v>
      </c>
      <c r="D459" s="62">
        <v>2</v>
      </c>
      <c r="E459" s="63">
        <f t="shared" si="106"/>
        <v>0.94339622641509435</v>
      </c>
      <c r="F459" s="62">
        <v>4</v>
      </c>
      <c r="G459" s="63">
        <f t="shared" si="107"/>
        <v>1.4492753623188406</v>
      </c>
      <c r="H459" s="62">
        <f t="shared" si="104"/>
        <v>11</v>
      </c>
      <c r="I459" s="63">
        <f t="shared" si="108"/>
        <v>1.3630731102850062</v>
      </c>
    </row>
    <row r="460" spans="1:11" ht="27.75" customHeight="1" x14ac:dyDescent="0.25">
      <c r="A460" s="95" t="s">
        <v>105</v>
      </c>
      <c r="B460" s="98">
        <v>186</v>
      </c>
      <c r="C460" s="63">
        <f t="shared" si="105"/>
        <v>58.307210031347964</v>
      </c>
      <c r="D460" s="62">
        <v>118</v>
      </c>
      <c r="E460" s="63">
        <f t="shared" si="106"/>
        <v>55.660377358490564</v>
      </c>
      <c r="F460" s="62">
        <v>151</v>
      </c>
      <c r="G460" s="63">
        <f t="shared" si="107"/>
        <v>54.710144927536234</v>
      </c>
      <c r="H460" s="62">
        <f t="shared" si="104"/>
        <v>455</v>
      </c>
      <c r="I460" s="63">
        <f t="shared" si="108"/>
        <v>56.381660470879801</v>
      </c>
    </row>
    <row r="461" spans="1:11" x14ac:dyDescent="0.25">
      <c r="A461" s="95" t="s">
        <v>26</v>
      </c>
      <c r="B461" s="98">
        <v>7</v>
      </c>
      <c r="C461" s="63">
        <f t="shared" si="105"/>
        <v>2.1943573667711598</v>
      </c>
      <c r="D461" s="62">
        <v>4</v>
      </c>
      <c r="E461" s="63">
        <f t="shared" si="106"/>
        <v>1.8867924528301887</v>
      </c>
      <c r="F461" s="62">
        <v>11</v>
      </c>
      <c r="G461" s="63">
        <f t="shared" si="107"/>
        <v>3.9855072463768111</v>
      </c>
      <c r="H461" s="62">
        <f t="shared" si="104"/>
        <v>22</v>
      </c>
      <c r="I461" s="63">
        <f t="shared" si="108"/>
        <v>2.7261462205700124</v>
      </c>
      <c r="K461" s="82" t="s">
        <v>305</v>
      </c>
    </row>
    <row r="462" spans="1:11" ht="21.75" customHeight="1" x14ac:dyDescent="0.25"/>
    <row r="463" spans="1:11" x14ac:dyDescent="0.25">
      <c r="A463" s="48" t="s">
        <v>288</v>
      </c>
      <c r="B463" s="104"/>
      <c r="C463" s="104"/>
    </row>
    <row r="464" spans="1:11" x14ac:dyDescent="0.25">
      <c r="A464" s="45"/>
    </row>
    <row r="465" spans="1:25" s="9" customFormat="1" x14ac:dyDescent="0.25">
      <c r="A465" s="47" t="s">
        <v>285</v>
      </c>
      <c r="B465" s="114"/>
      <c r="C465" s="114"/>
      <c r="D465" s="66"/>
      <c r="E465" s="67"/>
      <c r="F465" s="66"/>
      <c r="G465" s="67"/>
      <c r="H465" s="66"/>
      <c r="I465" s="67"/>
      <c r="J465" s="66"/>
      <c r="K465" s="66"/>
      <c r="L465" s="66"/>
      <c r="M465" s="66"/>
      <c r="N465" s="66"/>
      <c r="O465" s="66"/>
      <c r="P465" s="66"/>
      <c r="Q465" s="66"/>
      <c r="R465" s="66"/>
      <c r="S465" s="66"/>
      <c r="T465" s="66"/>
      <c r="U465" s="66"/>
      <c r="V465" s="66"/>
      <c r="W465" s="66"/>
      <c r="X465" s="66"/>
      <c r="Y465" s="66"/>
    </row>
    <row r="467" spans="1:25" x14ac:dyDescent="0.25">
      <c r="A467" s="1" t="s">
        <v>46</v>
      </c>
    </row>
    <row r="468" spans="1:25" x14ac:dyDescent="0.25">
      <c r="A468" s="1"/>
    </row>
    <row r="469" spans="1:25" x14ac:dyDescent="0.25">
      <c r="A469" s="62"/>
      <c r="B469" s="62" t="s">
        <v>7</v>
      </c>
      <c r="C469" s="63"/>
      <c r="D469" s="62" t="s">
        <v>8</v>
      </c>
      <c r="E469" s="63"/>
      <c r="F469" s="62" t="s">
        <v>9</v>
      </c>
      <c r="G469" s="63"/>
      <c r="H469" s="62" t="s">
        <v>10</v>
      </c>
      <c r="I469" s="63"/>
    </row>
    <row r="470" spans="1:25" x14ac:dyDescent="0.25">
      <c r="A470" s="62"/>
      <c r="B470" s="62" t="s">
        <v>5</v>
      </c>
      <c r="C470" s="63" t="s">
        <v>6</v>
      </c>
      <c r="D470" s="62" t="s">
        <v>5</v>
      </c>
      <c r="E470" s="63" t="s">
        <v>6</v>
      </c>
      <c r="F470" s="62" t="s">
        <v>5</v>
      </c>
      <c r="G470" s="63" t="s">
        <v>6</v>
      </c>
      <c r="H470" s="62" t="s">
        <v>5</v>
      </c>
      <c r="I470" s="63" t="s">
        <v>6</v>
      </c>
    </row>
    <row r="471" spans="1:25" x14ac:dyDescent="0.25">
      <c r="A471" s="95" t="s">
        <v>106</v>
      </c>
      <c r="B471" s="98">
        <v>23</v>
      </c>
      <c r="C471" s="63">
        <f>(B471/B474)*100</f>
        <v>17.293233082706767</v>
      </c>
      <c r="D471" s="62">
        <v>15</v>
      </c>
      <c r="E471" s="63">
        <f>(D471/D474)*100</f>
        <v>15.151515151515152</v>
      </c>
      <c r="F471" s="62">
        <v>16</v>
      </c>
      <c r="G471" s="63">
        <f>(F471/F474)*100</f>
        <v>12.213740458015266</v>
      </c>
      <c r="H471" s="62">
        <f t="shared" ref="H471:H474" si="109">(B471+D471+F471)</f>
        <v>54</v>
      </c>
      <c r="I471" s="63">
        <f>(H471/H474)*100</f>
        <v>14.87603305785124</v>
      </c>
    </row>
    <row r="472" spans="1:25" x14ac:dyDescent="0.25">
      <c r="A472" s="95" t="s">
        <v>107</v>
      </c>
      <c r="B472" s="98">
        <v>85</v>
      </c>
      <c r="C472" s="63">
        <f>(B472/B474)*100</f>
        <v>63.909774436090231</v>
      </c>
      <c r="D472" s="62">
        <v>72</v>
      </c>
      <c r="E472" s="63">
        <f>(D472/D474)*100</f>
        <v>72.727272727272734</v>
      </c>
      <c r="F472" s="62">
        <v>95</v>
      </c>
      <c r="G472" s="63">
        <f>(F472/F474)*100</f>
        <v>72.51908396946564</v>
      </c>
      <c r="H472" s="62">
        <f t="shared" si="109"/>
        <v>252</v>
      </c>
      <c r="I472" s="63">
        <f>(H472/H474)*100</f>
        <v>69.421487603305792</v>
      </c>
    </row>
    <row r="473" spans="1:25" x14ac:dyDescent="0.25">
      <c r="A473" s="95" t="s">
        <v>4</v>
      </c>
      <c r="B473" s="98">
        <v>25</v>
      </c>
      <c r="C473" s="63">
        <f>(B473/B474)*100</f>
        <v>18.796992481203006</v>
      </c>
      <c r="D473" s="62">
        <v>12</v>
      </c>
      <c r="E473" s="63">
        <f>(D473/D474)*100</f>
        <v>12.121212121212121</v>
      </c>
      <c r="F473" s="62">
        <v>20</v>
      </c>
      <c r="G473" s="63">
        <f>(F473/F474)*100</f>
        <v>15.267175572519085</v>
      </c>
      <c r="H473" s="62">
        <f t="shared" si="109"/>
        <v>57</v>
      </c>
      <c r="I473" s="63">
        <f>(H473/H474)*100</f>
        <v>15.702479338842975</v>
      </c>
    </row>
    <row r="474" spans="1:25" x14ac:dyDescent="0.25">
      <c r="A474" s="95" t="s">
        <v>10</v>
      </c>
      <c r="B474" s="98">
        <f t="shared" ref="B474:I474" si="110">SUM(B471:B473)</f>
        <v>133</v>
      </c>
      <c r="C474" s="63">
        <f t="shared" si="110"/>
        <v>100</v>
      </c>
      <c r="D474" s="62">
        <f t="shared" si="110"/>
        <v>99</v>
      </c>
      <c r="E474" s="63">
        <f t="shared" si="110"/>
        <v>100.00000000000001</v>
      </c>
      <c r="F474" s="62">
        <f t="shared" si="110"/>
        <v>131</v>
      </c>
      <c r="G474" s="63">
        <f t="shared" si="110"/>
        <v>99.999999999999986</v>
      </c>
      <c r="H474" s="62">
        <f t="shared" si="109"/>
        <v>363</v>
      </c>
      <c r="I474" s="63">
        <f t="shared" si="110"/>
        <v>100.00000000000001</v>
      </c>
    </row>
    <row r="477" spans="1:25" x14ac:dyDescent="0.25">
      <c r="A477" s="1" t="s">
        <v>108</v>
      </c>
    </row>
    <row r="478" spans="1:25" x14ac:dyDescent="0.25">
      <c r="A478" s="1"/>
    </row>
    <row r="479" spans="1:25" x14ac:dyDescent="0.25">
      <c r="A479" s="62"/>
      <c r="B479" s="62" t="s">
        <v>7</v>
      </c>
      <c r="C479" s="63"/>
      <c r="D479" s="62" t="s">
        <v>8</v>
      </c>
      <c r="E479" s="63"/>
      <c r="F479" s="62" t="s">
        <v>9</v>
      </c>
      <c r="G479" s="63"/>
      <c r="H479" s="62" t="s">
        <v>10</v>
      </c>
      <c r="I479" s="63"/>
    </row>
    <row r="480" spans="1:25" x14ac:dyDescent="0.25">
      <c r="A480" s="62"/>
      <c r="B480" s="62" t="s">
        <v>5</v>
      </c>
      <c r="C480" s="63" t="s">
        <v>6</v>
      </c>
      <c r="D480" s="62" t="s">
        <v>5</v>
      </c>
      <c r="E480" s="63" t="s">
        <v>6</v>
      </c>
      <c r="F480" s="62" t="s">
        <v>5</v>
      </c>
      <c r="G480" s="63" t="s">
        <v>6</v>
      </c>
      <c r="H480" s="62" t="s">
        <v>5</v>
      </c>
      <c r="I480" s="63" t="s">
        <v>6</v>
      </c>
    </row>
    <row r="481" spans="1:9" x14ac:dyDescent="0.25">
      <c r="A481" s="95" t="s">
        <v>106</v>
      </c>
      <c r="B481" s="98">
        <v>48</v>
      </c>
      <c r="C481" s="63">
        <f>(B481/B484)*100</f>
        <v>37.209302325581397</v>
      </c>
      <c r="D481" s="62">
        <v>34</v>
      </c>
      <c r="E481" s="63">
        <f>(D481/D484)*100</f>
        <v>35.789473684210527</v>
      </c>
      <c r="F481" s="62">
        <v>52</v>
      </c>
      <c r="G481" s="63">
        <f>(F481/F484)*100</f>
        <v>40.625</v>
      </c>
      <c r="H481" s="62">
        <f t="shared" ref="H481" si="111">(B481+D481+F481)</f>
        <v>134</v>
      </c>
      <c r="I481" s="63">
        <f>(H481/H484)*100</f>
        <v>38.06818181818182</v>
      </c>
    </row>
    <row r="482" spans="1:9" x14ac:dyDescent="0.25">
      <c r="A482" s="95" t="s">
        <v>107</v>
      </c>
      <c r="B482" s="98">
        <v>60</v>
      </c>
      <c r="C482" s="63">
        <f>(B482/B484)*100</f>
        <v>46.511627906976742</v>
      </c>
      <c r="D482" s="62">
        <v>51</v>
      </c>
      <c r="E482" s="63">
        <f>(D482/D484)*100</f>
        <v>53.684210526315788</v>
      </c>
      <c r="F482" s="62">
        <v>60</v>
      </c>
      <c r="G482" s="63">
        <f>(F482/F484)*100</f>
        <v>46.875</v>
      </c>
      <c r="H482" s="62">
        <f t="shared" ref="H482:H484" si="112">(B482+D482+F482)</f>
        <v>171</v>
      </c>
      <c r="I482" s="63">
        <f>(H482/H484)*100</f>
        <v>48.579545454545453</v>
      </c>
    </row>
    <row r="483" spans="1:9" x14ac:dyDescent="0.25">
      <c r="A483" s="95" t="s">
        <v>4</v>
      </c>
      <c r="B483" s="98">
        <v>21</v>
      </c>
      <c r="C483" s="63">
        <f>(B483/B484)*100</f>
        <v>16.279069767441861</v>
      </c>
      <c r="D483" s="62">
        <v>10</v>
      </c>
      <c r="E483" s="63">
        <f>(D483/D484)*100</f>
        <v>10.526315789473683</v>
      </c>
      <c r="F483" s="62">
        <v>16</v>
      </c>
      <c r="G483" s="63">
        <f>(F483/F484)*100</f>
        <v>12.5</v>
      </c>
      <c r="H483" s="62">
        <f t="shared" si="112"/>
        <v>47</v>
      </c>
      <c r="I483" s="63">
        <f>(H483/H484)*100</f>
        <v>13.352272727272727</v>
      </c>
    </row>
    <row r="484" spans="1:9" x14ac:dyDescent="0.25">
      <c r="A484" s="95" t="s">
        <v>10</v>
      </c>
      <c r="B484" s="98">
        <f t="shared" ref="B484:I484" si="113">SUM(B481:B483)</f>
        <v>129</v>
      </c>
      <c r="C484" s="63">
        <f t="shared" si="113"/>
        <v>100</v>
      </c>
      <c r="D484" s="62">
        <f t="shared" si="113"/>
        <v>95</v>
      </c>
      <c r="E484" s="63">
        <f t="shared" si="113"/>
        <v>100</v>
      </c>
      <c r="F484" s="62">
        <f t="shared" si="113"/>
        <v>128</v>
      </c>
      <c r="G484" s="63">
        <f t="shared" si="113"/>
        <v>100</v>
      </c>
      <c r="H484" s="62">
        <f t="shared" si="112"/>
        <v>352</v>
      </c>
      <c r="I484" s="63">
        <f t="shared" si="113"/>
        <v>100</v>
      </c>
    </row>
    <row r="487" spans="1:9" x14ac:dyDescent="0.25">
      <c r="A487" s="1" t="s">
        <v>157</v>
      </c>
    </row>
    <row r="488" spans="1:9" x14ac:dyDescent="0.25">
      <c r="A488" s="1"/>
    </row>
    <row r="489" spans="1:9" x14ac:dyDescent="0.25">
      <c r="A489" s="62"/>
      <c r="B489" s="62" t="s">
        <v>7</v>
      </c>
      <c r="C489" s="63"/>
      <c r="D489" s="62" t="s">
        <v>8</v>
      </c>
      <c r="E489" s="63"/>
      <c r="F489" s="62" t="s">
        <v>9</v>
      </c>
      <c r="G489" s="63"/>
      <c r="H489" s="62" t="s">
        <v>10</v>
      </c>
      <c r="I489" s="63"/>
    </row>
    <row r="490" spans="1:9" x14ac:dyDescent="0.25">
      <c r="A490" s="62"/>
      <c r="B490" s="62" t="s">
        <v>5</v>
      </c>
      <c r="C490" s="63" t="s">
        <v>6</v>
      </c>
      <c r="D490" s="62" t="s">
        <v>5</v>
      </c>
      <c r="E490" s="63" t="s">
        <v>6</v>
      </c>
      <c r="F490" s="62" t="s">
        <v>5</v>
      </c>
      <c r="G490" s="63" t="s">
        <v>6</v>
      </c>
      <c r="H490" s="62" t="s">
        <v>5</v>
      </c>
      <c r="I490" s="63" t="s">
        <v>6</v>
      </c>
    </row>
    <row r="491" spans="1:9" x14ac:dyDescent="0.25">
      <c r="A491" s="95" t="s">
        <v>109</v>
      </c>
      <c r="B491" s="98">
        <v>90</v>
      </c>
      <c r="C491" s="63">
        <f>(B491/B494)*100</f>
        <v>36.29032258064516</v>
      </c>
      <c r="D491" s="62">
        <v>69</v>
      </c>
      <c r="E491" s="63">
        <f>(D491/D494)*100</f>
        <v>42.592592592592595</v>
      </c>
      <c r="F491" s="62">
        <v>86</v>
      </c>
      <c r="G491" s="63">
        <f>(F491/F494)*100</f>
        <v>40.566037735849058</v>
      </c>
      <c r="H491" s="62">
        <f t="shared" ref="H491:H494" si="114">(B491+D491+F491)</f>
        <v>245</v>
      </c>
      <c r="I491" s="63">
        <f>(H491/H494)*100</f>
        <v>39.38906752411576</v>
      </c>
    </row>
    <row r="492" spans="1:9" x14ac:dyDescent="0.25">
      <c r="A492" s="95" t="s">
        <v>110</v>
      </c>
      <c r="B492" s="98">
        <v>120</v>
      </c>
      <c r="C492" s="63">
        <f>(B492/B494)*100</f>
        <v>48.387096774193552</v>
      </c>
      <c r="D492" s="62">
        <v>76</v>
      </c>
      <c r="E492" s="63">
        <f>(D492/D494)*100</f>
        <v>46.913580246913575</v>
      </c>
      <c r="F492" s="62">
        <v>107</v>
      </c>
      <c r="G492" s="63">
        <f>(F492/F494)*100</f>
        <v>50.471698113207552</v>
      </c>
      <c r="H492" s="62">
        <f t="shared" si="114"/>
        <v>303</v>
      </c>
      <c r="I492" s="63">
        <f>(H492/H494)*100</f>
        <v>48.713826366559488</v>
      </c>
    </row>
    <row r="493" spans="1:9" x14ac:dyDescent="0.25">
      <c r="A493" s="95" t="s">
        <v>111</v>
      </c>
      <c r="B493" s="98">
        <v>38</v>
      </c>
      <c r="C493" s="63">
        <f>(B493/B494)*100</f>
        <v>15.32258064516129</v>
      </c>
      <c r="D493" s="62">
        <v>17</v>
      </c>
      <c r="E493" s="63">
        <f>(D493/D494)*100</f>
        <v>10.493827160493826</v>
      </c>
      <c r="F493" s="62">
        <v>19</v>
      </c>
      <c r="G493" s="63">
        <f>(F493/F494)*100</f>
        <v>8.9622641509433958</v>
      </c>
      <c r="H493" s="62">
        <f t="shared" si="114"/>
        <v>74</v>
      </c>
      <c r="I493" s="63">
        <f>(H493/H494)*100</f>
        <v>11.89710610932476</v>
      </c>
    </row>
    <row r="494" spans="1:9" x14ac:dyDescent="0.25">
      <c r="A494" s="95" t="s">
        <v>10</v>
      </c>
      <c r="B494" s="98">
        <f t="shared" ref="B494:I494" si="115">SUM(B491:B493)</f>
        <v>248</v>
      </c>
      <c r="C494" s="63">
        <f t="shared" si="115"/>
        <v>100.00000000000001</v>
      </c>
      <c r="D494" s="62">
        <f t="shared" si="115"/>
        <v>162</v>
      </c>
      <c r="E494" s="63">
        <f t="shared" si="115"/>
        <v>100</v>
      </c>
      <c r="F494" s="62">
        <f t="shared" si="115"/>
        <v>212</v>
      </c>
      <c r="G494" s="63">
        <f t="shared" si="115"/>
        <v>100.00000000000001</v>
      </c>
      <c r="H494" s="62">
        <f t="shared" si="114"/>
        <v>622</v>
      </c>
      <c r="I494" s="63">
        <f t="shared" si="115"/>
        <v>100</v>
      </c>
    </row>
    <row r="497" spans="1:25" s="26" customFormat="1" x14ac:dyDescent="0.25">
      <c r="A497" s="39" t="s">
        <v>47</v>
      </c>
      <c r="B497" s="82"/>
      <c r="C497" s="101"/>
      <c r="D497" s="82"/>
      <c r="E497" s="101"/>
      <c r="F497" s="82"/>
      <c r="G497" s="101"/>
      <c r="H497" s="82"/>
      <c r="I497" s="101"/>
      <c r="J497" s="82"/>
      <c r="K497" s="82"/>
      <c r="L497" s="82"/>
      <c r="M497" s="82"/>
      <c r="N497" s="82"/>
      <c r="O497" s="82"/>
      <c r="P497" s="82"/>
      <c r="Q497" s="82"/>
      <c r="R497" s="82"/>
      <c r="S497" s="82"/>
      <c r="T497" s="82"/>
      <c r="U497" s="82"/>
      <c r="V497" s="82"/>
      <c r="W497" s="82"/>
      <c r="X497" s="82"/>
      <c r="Y497" s="82"/>
    </row>
    <row r="498" spans="1:25" s="26" customFormat="1" x14ac:dyDescent="0.25">
      <c r="A498" s="39"/>
      <c r="B498" s="82"/>
      <c r="C498" s="101"/>
      <c r="D498" s="82"/>
      <c r="E498" s="101"/>
      <c r="F498" s="82"/>
      <c r="G498" s="101"/>
      <c r="H498" s="82"/>
      <c r="I498" s="101"/>
      <c r="J498" s="82"/>
      <c r="K498" s="82"/>
      <c r="L498" s="82"/>
      <c r="M498" s="82"/>
      <c r="N498" s="82"/>
      <c r="O498" s="82"/>
      <c r="P498" s="82"/>
      <c r="Q498" s="82"/>
      <c r="R498" s="82"/>
      <c r="S498" s="82"/>
      <c r="T498" s="82"/>
      <c r="U498" s="82"/>
      <c r="V498" s="82"/>
      <c r="W498" s="82"/>
      <c r="X498" s="82"/>
      <c r="Y498" s="82"/>
    </row>
    <row r="499" spans="1:25" x14ac:dyDescent="0.25">
      <c r="A499" s="62"/>
      <c r="B499" s="62" t="s">
        <v>7</v>
      </c>
      <c r="C499" s="63"/>
      <c r="D499" s="62" t="s">
        <v>8</v>
      </c>
      <c r="E499" s="63"/>
      <c r="F499" s="62" t="s">
        <v>9</v>
      </c>
      <c r="G499" s="63"/>
      <c r="H499" s="62" t="s">
        <v>10</v>
      </c>
      <c r="I499" s="63"/>
    </row>
    <row r="500" spans="1:25" x14ac:dyDescent="0.25">
      <c r="A500" s="62"/>
      <c r="B500" s="62" t="s">
        <v>5</v>
      </c>
      <c r="C500" s="63" t="s">
        <v>6</v>
      </c>
      <c r="D500" s="62" t="s">
        <v>5</v>
      </c>
      <c r="E500" s="63" t="s">
        <v>6</v>
      </c>
      <c r="F500" s="62" t="s">
        <v>5</v>
      </c>
      <c r="G500" s="63" t="s">
        <v>6</v>
      </c>
      <c r="H500" s="62" t="s">
        <v>5</v>
      </c>
      <c r="I500" s="63" t="s">
        <v>6</v>
      </c>
    </row>
    <row r="501" spans="1:25" x14ac:dyDescent="0.25">
      <c r="A501" s="95" t="s">
        <v>112</v>
      </c>
      <c r="B501" s="98">
        <v>29</v>
      </c>
      <c r="C501" s="63">
        <f>(B501/319)*100</f>
        <v>9.0909090909090917</v>
      </c>
      <c r="D501" s="62">
        <v>23</v>
      </c>
      <c r="E501" s="63">
        <f>(D501/212)*100</f>
        <v>10.849056603773585</v>
      </c>
      <c r="F501" s="62">
        <v>39</v>
      </c>
      <c r="G501" s="63">
        <f>(F501/276)*100</f>
        <v>14.130434782608695</v>
      </c>
      <c r="H501" s="62">
        <f t="shared" ref="H501:H505" si="116">(B501+D501+F501)</f>
        <v>91</v>
      </c>
      <c r="I501" s="63">
        <f>(H501/807)*100</f>
        <v>11.276332094175959</v>
      </c>
    </row>
    <row r="502" spans="1:25" x14ac:dyDescent="0.25">
      <c r="A502" s="95" t="s">
        <v>113</v>
      </c>
      <c r="B502" s="98">
        <v>36</v>
      </c>
      <c r="C502" s="63">
        <f t="shared" ref="C502:C505" si="117">(B502/319)*100</f>
        <v>11.285266457680251</v>
      </c>
      <c r="D502" s="62">
        <v>20</v>
      </c>
      <c r="E502" s="63">
        <f t="shared" ref="E502:E505" si="118">(D502/212)*100</f>
        <v>9.433962264150944</v>
      </c>
      <c r="F502" s="62">
        <v>31</v>
      </c>
      <c r="G502" s="63">
        <f t="shared" ref="G502:G505" si="119">(F502/276)*100</f>
        <v>11.231884057971014</v>
      </c>
      <c r="H502" s="62">
        <f t="shared" si="116"/>
        <v>87</v>
      </c>
      <c r="I502" s="63">
        <f t="shared" ref="I502:I505" si="120">(H502/807)*100</f>
        <v>10.780669144981413</v>
      </c>
    </row>
    <row r="503" spans="1:25" x14ac:dyDescent="0.25">
      <c r="A503" s="95" t="s">
        <v>114</v>
      </c>
      <c r="B503" s="98">
        <v>46</v>
      </c>
      <c r="C503" s="63">
        <f t="shared" si="117"/>
        <v>14.420062695924765</v>
      </c>
      <c r="D503" s="62">
        <v>23</v>
      </c>
      <c r="E503" s="63">
        <f t="shared" si="118"/>
        <v>10.849056603773585</v>
      </c>
      <c r="F503" s="62">
        <v>26</v>
      </c>
      <c r="G503" s="63">
        <f t="shared" si="119"/>
        <v>9.4202898550724647</v>
      </c>
      <c r="H503" s="62">
        <f t="shared" si="116"/>
        <v>95</v>
      </c>
      <c r="I503" s="63">
        <f t="shared" si="120"/>
        <v>11.771995043370508</v>
      </c>
    </row>
    <row r="504" spans="1:25" x14ac:dyDescent="0.25">
      <c r="A504" s="95" t="s">
        <v>115</v>
      </c>
      <c r="B504" s="98">
        <v>28</v>
      </c>
      <c r="C504" s="63">
        <f t="shared" si="117"/>
        <v>8.7774294670846391</v>
      </c>
      <c r="D504" s="62">
        <v>17</v>
      </c>
      <c r="E504" s="63">
        <f t="shared" si="118"/>
        <v>8.0188679245283012</v>
      </c>
      <c r="F504" s="62">
        <v>18</v>
      </c>
      <c r="G504" s="63">
        <f t="shared" si="119"/>
        <v>6.5217391304347823</v>
      </c>
      <c r="H504" s="62">
        <f t="shared" si="116"/>
        <v>63</v>
      </c>
      <c r="I504" s="63">
        <f t="shared" si="120"/>
        <v>7.8066914498141262</v>
      </c>
    </row>
    <row r="505" spans="1:25" ht="14.1" customHeight="1" x14ac:dyDescent="0.25">
      <c r="A505" s="95" t="s">
        <v>116</v>
      </c>
      <c r="B505" s="98">
        <v>184</v>
      </c>
      <c r="C505" s="63">
        <f t="shared" si="117"/>
        <v>57.680250783699059</v>
      </c>
      <c r="D505" s="62">
        <v>119</v>
      </c>
      <c r="E505" s="63">
        <f t="shared" si="118"/>
        <v>56.132075471698116</v>
      </c>
      <c r="F505" s="62">
        <v>168</v>
      </c>
      <c r="G505" s="63">
        <f t="shared" si="119"/>
        <v>60.869565217391312</v>
      </c>
      <c r="H505" s="62">
        <f t="shared" si="116"/>
        <v>471</v>
      </c>
      <c r="I505" s="63">
        <f t="shared" si="120"/>
        <v>58.364312267657994</v>
      </c>
      <c r="K505" s="82" t="s">
        <v>305</v>
      </c>
    </row>
    <row r="508" spans="1:25" x14ac:dyDescent="0.25">
      <c r="A508" s="1" t="s">
        <v>48</v>
      </c>
    </row>
    <row r="509" spans="1:25" x14ac:dyDescent="0.25">
      <c r="A509" s="1"/>
    </row>
    <row r="510" spans="1:25" x14ac:dyDescent="0.25">
      <c r="A510" s="62"/>
      <c r="B510" s="62" t="s">
        <v>7</v>
      </c>
      <c r="C510" s="63"/>
      <c r="D510" s="62" t="s">
        <v>8</v>
      </c>
      <c r="E510" s="63"/>
      <c r="F510" s="62" t="s">
        <v>9</v>
      </c>
      <c r="G510" s="63"/>
      <c r="H510" s="62" t="s">
        <v>10</v>
      </c>
      <c r="I510" s="63"/>
    </row>
    <row r="511" spans="1:25" x14ac:dyDescent="0.25">
      <c r="A511" s="62"/>
      <c r="B511" s="62" t="s">
        <v>5</v>
      </c>
      <c r="C511" s="63" t="s">
        <v>6</v>
      </c>
      <c r="D511" s="62" t="s">
        <v>5</v>
      </c>
      <c r="E511" s="63" t="s">
        <v>6</v>
      </c>
      <c r="F511" s="62" t="s">
        <v>5</v>
      </c>
      <c r="G511" s="63" t="s">
        <v>6</v>
      </c>
      <c r="H511" s="62" t="s">
        <v>5</v>
      </c>
      <c r="I511" s="63" t="s">
        <v>6</v>
      </c>
    </row>
    <row r="512" spans="1:25" ht="15.75" customHeight="1" x14ac:dyDescent="0.25">
      <c r="A512" s="95" t="s">
        <v>117</v>
      </c>
      <c r="B512" s="98">
        <v>193</v>
      </c>
      <c r="C512" s="63">
        <f>(B512/B515)*100</f>
        <v>64.765100671140942</v>
      </c>
      <c r="D512" s="62">
        <v>99</v>
      </c>
      <c r="E512" s="63">
        <f>(D512/D515)*100</f>
        <v>52.659574468085104</v>
      </c>
      <c r="F512" s="62">
        <v>144</v>
      </c>
      <c r="G512" s="63">
        <f>(F512/F515)*100</f>
        <v>56.916996047430835</v>
      </c>
      <c r="H512" s="62">
        <f t="shared" ref="H512:H515" si="121">(B512+D512+F512)</f>
        <v>436</v>
      </c>
      <c r="I512" s="63">
        <f>(H512/H515)*100</f>
        <v>58.998646820027069</v>
      </c>
    </row>
    <row r="513" spans="1:11" ht="30" x14ac:dyDescent="0.25">
      <c r="A513" s="95" t="s">
        <v>118</v>
      </c>
      <c r="B513" s="98">
        <v>94</v>
      </c>
      <c r="C513" s="63">
        <f>(B513/B515)*100</f>
        <v>31.543624161073826</v>
      </c>
      <c r="D513" s="62">
        <v>84</v>
      </c>
      <c r="E513" s="63">
        <f>(D513/D515)*100</f>
        <v>44.680851063829785</v>
      </c>
      <c r="F513" s="62">
        <v>90</v>
      </c>
      <c r="G513" s="63">
        <f>(F513/F515)*100</f>
        <v>35.573122529644266</v>
      </c>
      <c r="H513" s="62">
        <f>(B513+D513+F513)</f>
        <v>268</v>
      </c>
      <c r="I513" s="63">
        <f>(H513/H515)*100</f>
        <v>36.265223274695536</v>
      </c>
      <c r="J513" s="62"/>
    </row>
    <row r="514" spans="1:11" x14ac:dyDescent="0.25">
      <c r="A514" s="95" t="s">
        <v>26</v>
      </c>
      <c r="B514" s="98">
        <v>11</v>
      </c>
      <c r="C514" s="63">
        <f>(B514/B515)*100</f>
        <v>3.6912751677852351</v>
      </c>
      <c r="D514" s="62">
        <v>5</v>
      </c>
      <c r="E514" s="63">
        <f>(D514/D515)*100</f>
        <v>2.6595744680851063</v>
      </c>
      <c r="F514" s="62">
        <v>19</v>
      </c>
      <c r="G514" s="63">
        <f>(F514/F515)*100</f>
        <v>7.5098814229249005</v>
      </c>
      <c r="H514" s="62">
        <f t="shared" si="121"/>
        <v>35</v>
      </c>
      <c r="I514" s="63">
        <f>(H514/H515)*100</f>
        <v>4.7361299052774015</v>
      </c>
    </row>
    <row r="515" spans="1:11" x14ac:dyDescent="0.25">
      <c r="A515" s="95" t="s">
        <v>10</v>
      </c>
      <c r="B515" s="98">
        <f t="shared" ref="B515:I515" si="122">SUM(B512:B514)</f>
        <v>298</v>
      </c>
      <c r="C515" s="63">
        <f t="shared" si="122"/>
        <v>100</v>
      </c>
      <c r="D515" s="62">
        <f t="shared" si="122"/>
        <v>188</v>
      </c>
      <c r="E515" s="63">
        <f t="shared" si="122"/>
        <v>100</v>
      </c>
      <c r="F515" s="62">
        <f t="shared" si="122"/>
        <v>253</v>
      </c>
      <c r="G515" s="63">
        <f t="shared" si="122"/>
        <v>100</v>
      </c>
      <c r="H515" s="62">
        <f t="shared" si="121"/>
        <v>739</v>
      </c>
      <c r="I515" s="63">
        <f t="shared" si="122"/>
        <v>100</v>
      </c>
    </row>
    <row r="518" spans="1:11" x14ac:dyDescent="0.25">
      <c r="A518" s="1" t="s">
        <v>119</v>
      </c>
    </row>
    <row r="519" spans="1:11" x14ac:dyDescent="0.25">
      <c r="A519" s="1"/>
    </row>
    <row r="520" spans="1:11" x14ac:dyDescent="0.25">
      <c r="A520" s="62"/>
      <c r="B520" s="62" t="s">
        <v>7</v>
      </c>
      <c r="C520" s="63"/>
      <c r="D520" s="62" t="s">
        <v>8</v>
      </c>
      <c r="E520" s="63"/>
      <c r="F520" s="62" t="s">
        <v>9</v>
      </c>
      <c r="G520" s="63"/>
      <c r="H520" s="62" t="s">
        <v>10</v>
      </c>
      <c r="I520" s="63"/>
    </row>
    <row r="521" spans="1:11" x14ac:dyDescent="0.25">
      <c r="A521" s="62"/>
      <c r="B521" s="62" t="s">
        <v>5</v>
      </c>
      <c r="C521" s="63" t="s">
        <v>6</v>
      </c>
      <c r="D521" s="62" t="s">
        <v>5</v>
      </c>
      <c r="E521" s="63" t="s">
        <v>6</v>
      </c>
      <c r="F521" s="62" t="s">
        <v>5</v>
      </c>
      <c r="G521" s="63" t="s">
        <v>6</v>
      </c>
      <c r="H521" s="62" t="s">
        <v>5</v>
      </c>
      <c r="I521" s="63" t="s">
        <v>6</v>
      </c>
    </row>
    <row r="522" spans="1:11" ht="15" customHeight="1" x14ac:dyDescent="0.25">
      <c r="A522" s="95" t="s">
        <v>120</v>
      </c>
      <c r="B522" s="98">
        <v>33</v>
      </c>
      <c r="C522" s="63">
        <f>(B522/319)*100</f>
        <v>10.344827586206897</v>
      </c>
      <c r="D522" s="62">
        <v>15</v>
      </c>
      <c r="E522" s="63">
        <f>(D522/212)*100</f>
        <v>7.0754716981132075</v>
      </c>
      <c r="F522" s="62">
        <v>26</v>
      </c>
      <c r="G522" s="63">
        <f>(F522/276)*100</f>
        <v>9.4202898550724647</v>
      </c>
      <c r="H522" s="62">
        <f t="shared" ref="H522:H528" si="123">(B522+D522+F522)</f>
        <v>74</v>
      </c>
      <c r="I522" s="63">
        <f>(H522/807)*100</f>
        <v>9.1697645600991322</v>
      </c>
    </row>
    <row r="523" spans="1:11" ht="16.5" customHeight="1" x14ac:dyDescent="0.25">
      <c r="A523" s="95" t="s">
        <v>121</v>
      </c>
      <c r="B523" s="98">
        <v>17</v>
      </c>
      <c r="C523" s="63">
        <f t="shared" ref="C523:C528" si="124">(B523/319)*100</f>
        <v>5.3291536050156738</v>
      </c>
      <c r="D523" s="62">
        <v>9</v>
      </c>
      <c r="E523" s="63">
        <f t="shared" ref="E523:E528" si="125">(D523/212)*100</f>
        <v>4.2452830188679247</v>
      </c>
      <c r="F523" s="62">
        <v>17</v>
      </c>
      <c r="G523" s="63">
        <f t="shared" ref="G523:G528" si="126">(F523/276)*100</f>
        <v>6.1594202898550732</v>
      </c>
      <c r="H523" s="62">
        <f t="shared" si="123"/>
        <v>43</v>
      </c>
      <c r="I523" s="63">
        <f t="shared" ref="I523:I528" si="127">(H523/807)*100</f>
        <v>5.3283767038413883</v>
      </c>
    </row>
    <row r="524" spans="1:11" ht="27.75" customHeight="1" x14ac:dyDescent="0.25">
      <c r="A524" s="95" t="s">
        <v>122</v>
      </c>
      <c r="B524" s="98">
        <v>28</v>
      </c>
      <c r="C524" s="63">
        <f t="shared" si="124"/>
        <v>8.7774294670846391</v>
      </c>
      <c r="D524" s="62">
        <v>15</v>
      </c>
      <c r="E524" s="63">
        <f t="shared" si="125"/>
        <v>7.0754716981132075</v>
      </c>
      <c r="F524" s="62">
        <v>21</v>
      </c>
      <c r="G524" s="63">
        <f t="shared" si="126"/>
        <v>7.608695652173914</v>
      </c>
      <c r="H524" s="62">
        <f t="shared" si="123"/>
        <v>64</v>
      </c>
      <c r="I524" s="63">
        <f t="shared" si="127"/>
        <v>7.9306071871127637</v>
      </c>
    </row>
    <row r="525" spans="1:11" ht="30" x14ac:dyDescent="0.25">
      <c r="A525" s="95" t="s">
        <v>123</v>
      </c>
      <c r="B525" s="98">
        <v>32</v>
      </c>
      <c r="C525" s="63">
        <f t="shared" si="124"/>
        <v>10.031347962382444</v>
      </c>
      <c r="D525" s="62">
        <v>29</v>
      </c>
      <c r="E525" s="63">
        <f t="shared" si="125"/>
        <v>13.679245283018867</v>
      </c>
      <c r="F525" s="62">
        <v>45</v>
      </c>
      <c r="G525" s="63">
        <f t="shared" si="126"/>
        <v>16.304347826086957</v>
      </c>
      <c r="H525" s="62">
        <f t="shared" si="123"/>
        <v>106</v>
      </c>
      <c r="I525" s="63">
        <f t="shared" si="127"/>
        <v>13.135068153655514</v>
      </c>
    </row>
    <row r="526" spans="1:11" ht="12.75" customHeight="1" x14ac:dyDescent="0.25">
      <c r="A526" s="95" t="s">
        <v>124</v>
      </c>
      <c r="B526" s="98">
        <v>41</v>
      </c>
      <c r="C526" s="63">
        <f t="shared" si="124"/>
        <v>12.852664576802509</v>
      </c>
      <c r="D526" s="62">
        <v>22</v>
      </c>
      <c r="E526" s="63">
        <f t="shared" si="125"/>
        <v>10.377358490566039</v>
      </c>
      <c r="F526" s="62">
        <v>49</v>
      </c>
      <c r="G526" s="63">
        <f t="shared" si="126"/>
        <v>17.753623188405797</v>
      </c>
      <c r="H526" s="62">
        <f t="shared" si="123"/>
        <v>112</v>
      </c>
      <c r="I526" s="63">
        <f t="shared" si="127"/>
        <v>13.878562577447337</v>
      </c>
    </row>
    <row r="527" spans="1:11" ht="14.25" customHeight="1" x14ac:dyDescent="0.25">
      <c r="A527" s="95" t="s">
        <v>125</v>
      </c>
      <c r="B527" s="98">
        <v>164</v>
      </c>
      <c r="C527" s="63">
        <f t="shared" si="124"/>
        <v>51.410658307210035</v>
      </c>
      <c r="D527" s="62">
        <v>109</v>
      </c>
      <c r="E527" s="63">
        <f t="shared" si="125"/>
        <v>51.415094339622648</v>
      </c>
      <c r="F527" s="62">
        <v>125</v>
      </c>
      <c r="G527" s="63">
        <f t="shared" si="126"/>
        <v>45.289855072463766</v>
      </c>
      <c r="H527" s="62">
        <f t="shared" si="123"/>
        <v>398</v>
      </c>
      <c r="I527" s="63">
        <f t="shared" si="127"/>
        <v>49.3184634448575</v>
      </c>
      <c r="K527" s="82" t="s">
        <v>305</v>
      </c>
    </row>
    <row r="528" spans="1:11" x14ac:dyDescent="0.25">
      <c r="A528" s="95" t="s">
        <v>130</v>
      </c>
      <c r="B528" s="98">
        <v>5</v>
      </c>
      <c r="C528" s="63">
        <f t="shared" si="124"/>
        <v>1.5673981191222568</v>
      </c>
      <c r="D528" s="62">
        <v>2</v>
      </c>
      <c r="E528" s="63">
        <f t="shared" si="125"/>
        <v>0.94339622641509435</v>
      </c>
      <c r="F528" s="62">
        <v>3</v>
      </c>
      <c r="G528" s="63">
        <f t="shared" si="126"/>
        <v>1.0869565217391304</v>
      </c>
      <c r="H528" s="62">
        <f t="shared" si="123"/>
        <v>10</v>
      </c>
      <c r="I528" s="63">
        <f t="shared" si="127"/>
        <v>1.2391573729863694</v>
      </c>
    </row>
    <row r="529" spans="1:11" x14ac:dyDescent="0.25">
      <c r="A529" s="96"/>
      <c r="B529" s="36"/>
      <c r="C529" s="37"/>
      <c r="D529" s="36"/>
      <c r="E529" s="37"/>
      <c r="F529" s="36"/>
      <c r="G529" s="37"/>
      <c r="H529" s="36"/>
      <c r="I529" s="37"/>
    </row>
    <row r="531" spans="1:11" x14ac:dyDescent="0.25">
      <c r="A531" s="1" t="s">
        <v>49</v>
      </c>
    </row>
    <row r="532" spans="1:11" x14ac:dyDescent="0.25">
      <c r="A532" s="1"/>
    </row>
    <row r="533" spans="1:11" x14ac:dyDescent="0.25">
      <c r="A533" s="62"/>
      <c r="B533" s="62" t="s">
        <v>7</v>
      </c>
      <c r="C533" s="63"/>
      <c r="D533" s="62" t="s">
        <v>8</v>
      </c>
      <c r="E533" s="63"/>
      <c r="F533" s="62" t="s">
        <v>9</v>
      </c>
      <c r="G533" s="63"/>
      <c r="H533" s="62" t="s">
        <v>10</v>
      </c>
      <c r="I533" s="63"/>
    </row>
    <row r="534" spans="1:11" x14ac:dyDescent="0.25">
      <c r="A534" s="62"/>
      <c r="B534" s="62" t="s">
        <v>5</v>
      </c>
      <c r="C534" s="63" t="s">
        <v>6</v>
      </c>
      <c r="D534" s="62" t="s">
        <v>5</v>
      </c>
      <c r="E534" s="63" t="s">
        <v>6</v>
      </c>
      <c r="F534" s="62" t="s">
        <v>5</v>
      </c>
      <c r="G534" s="63" t="s">
        <v>6</v>
      </c>
      <c r="H534" s="62" t="s">
        <v>5</v>
      </c>
      <c r="I534" s="63" t="s">
        <v>6</v>
      </c>
    </row>
    <row r="535" spans="1:11" ht="30" customHeight="1" x14ac:dyDescent="0.25">
      <c r="A535" s="95" t="s">
        <v>126</v>
      </c>
      <c r="B535" s="98">
        <v>84</v>
      </c>
      <c r="C535" s="63">
        <f>(B535/319)*100</f>
        <v>26.332288401253916</v>
      </c>
      <c r="D535" s="62">
        <v>69</v>
      </c>
      <c r="E535" s="63">
        <f>(D535/212)*100</f>
        <v>32.547169811320757</v>
      </c>
      <c r="F535" s="62">
        <v>77</v>
      </c>
      <c r="G535" s="63">
        <f>(F535/276)*100</f>
        <v>27.898550724637683</v>
      </c>
      <c r="H535" s="62">
        <f t="shared" ref="H535:H540" si="128">(B535+D535+F535)</f>
        <v>230</v>
      </c>
      <c r="I535" s="63">
        <f>(H535/807)*100</f>
        <v>28.500619578686493</v>
      </c>
    </row>
    <row r="536" spans="1:11" ht="14.1" customHeight="1" x14ac:dyDescent="0.25">
      <c r="A536" s="95" t="s">
        <v>127</v>
      </c>
      <c r="B536" s="98">
        <v>188</v>
      </c>
      <c r="C536" s="63">
        <f t="shared" ref="C536:C540" si="129">(B536/319)*100</f>
        <v>58.934169278996862</v>
      </c>
      <c r="D536" s="62">
        <v>99</v>
      </c>
      <c r="E536" s="63">
        <f t="shared" ref="E536:E540" si="130">(D536/212)*100</f>
        <v>46.698113207547173</v>
      </c>
      <c r="F536" s="62">
        <v>143</v>
      </c>
      <c r="G536" s="63">
        <f t="shared" ref="G536:G540" si="131">(F536/276)*100</f>
        <v>51.811594202898547</v>
      </c>
      <c r="H536" s="62">
        <f t="shared" si="128"/>
        <v>430</v>
      </c>
      <c r="I536" s="63">
        <f t="shared" ref="I536:I540" si="132">(H536/807)*100</f>
        <v>53.283767038413878</v>
      </c>
    </row>
    <row r="537" spans="1:11" ht="30" x14ac:dyDescent="0.25">
      <c r="A537" s="95" t="s">
        <v>128</v>
      </c>
      <c r="B537" s="98">
        <v>38</v>
      </c>
      <c r="C537" s="63">
        <f t="shared" si="129"/>
        <v>11.912225705329153</v>
      </c>
      <c r="D537" s="62">
        <v>27</v>
      </c>
      <c r="E537" s="63">
        <f t="shared" si="130"/>
        <v>12.735849056603774</v>
      </c>
      <c r="F537" s="62">
        <v>39</v>
      </c>
      <c r="G537" s="63">
        <f t="shared" si="131"/>
        <v>14.130434782608695</v>
      </c>
      <c r="H537" s="62">
        <f t="shared" si="128"/>
        <v>104</v>
      </c>
      <c r="I537" s="63">
        <f t="shared" si="132"/>
        <v>12.887236679058239</v>
      </c>
    </row>
    <row r="538" spans="1:11" ht="30" x14ac:dyDescent="0.25">
      <c r="A538" s="95" t="s">
        <v>129</v>
      </c>
      <c r="B538" s="98">
        <v>7</v>
      </c>
      <c r="C538" s="63">
        <f t="shared" si="129"/>
        <v>2.1943573667711598</v>
      </c>
      <c r="D538" s="62">
        <v>3</v>
      </c>
      <c r="E538" s="63">
        <f t="shared" si="130"/>
        <v>1.4150943396226416</v>
      </c>
      <c r="F538" s="62">
        <v>8</v>
      </c>
      <c r="G538" s="63">
        <f t="shared" si="131"/>
        <v>2.8985507246376812</v>
      </c>
      <c r="H538" s="62">
        <f t="shared" si="128"/>
        <v>18</v>
      </c>
      <c r="I538" s="63">
        <f t="shared" si="132"/>
        <v>2.2304832713754648</v>
      </c>
    </row>
    <row r="539" spans="1:11" x14ac:dyDescent="0.25">
      <c r="A539" s="95" t="s">
        <v>130</v>
      </c>
      <c r="B539" s="98">
        <v>15</v>
      </c>
      <c r="C539" s="63">
        <f t="shared" si="129"/>
        <v>4.7021943573667713</v>
      </c>
      <c r="D539" s="62">
        <v>16</v>
      </c>
      <c r="E539" s="63">
        <f t="shared" si="130"/>
        <v>7.5471698113207548</v>
      </c>
      <c r="F539" s="62">
        <v>9</v>
      </c>
      <c r="G539" s="63">
        <f t="shared" si="131"/>
        <v>3.2608695652173911</v>
      </c>
      <c r="H539" s="62">
        <f t="shared" si="128"/>
        <v>40</v>
      </c>
      <c r="I539" s="63">
        <f t="shared" si="132"/>
        <v>4.9566294919454776</v>
      </c>
    </row>
    <row r="540" spans="1:11" x14ac:dyDescent="0.25">
      <c r="A540" s="95" t="s">
        <v>26</v>
      </c>
      <c r="B540" s="98">
        <v>9</v>
      </c>
      <c r="C540" s="63">
        <f t="shared" si="129"/>
        <v>2.8213166144200628</v>
      </c>
      <c r="D540" s="62">
        <v>9</v>
      </c>
      <c r="E540" s="63">
        <f t="shared" si="130"/>
        <v>4.2452830188679247</v>
      </c>
      <c r="F540" s="62">
        <v>16</v>
      </c>
      <c r="G540" s="63">
        <f t="shared" si="131"/>
        <v>5.7971014492753623</v>
      </c>
      <c r="H540" s="62">
        <f t="shared" si="128"/>
        <v>34</v>
      </c>
      <c r="I540" s="63">
        <f t="shared" si="132"/>
        <v>4.2131350681536555</v>
      </c>
      <c r="K540" s="82" t="s">
        <v>305</v>
      </c>
    </row>
    <row r="543" spans="1:11" x14ac:dyDescent="0.25">
      <c r="A543" s="1" t="s">
        <v>50</v>
      </c>
    </row>
    <row r="544" spans="1:11" x14ac:dyDescent="0.25">
      <c r="A544" s="1"/>
    </row>
    <row r="545" spans="1:11" x14ac:dyDescent="0.25">
      <c r="A545" s="62"/>
      <c r="B545" s="62" t="s">
        <v>7</v>
      </c>
      <c r="C545" s="63"/>
      <c r="D545" s="62" t="s">
        <v>8</v>
      </c>
      <c r="E545" s="63"/>
      <c r="F545" s="62" t="s">
        <v>9</v>
      </c>
      <c r="G545" s="63"/>
      <c r="H545" s="62" t="s">
        <v>10</v>
      </c>
      <c r="I545" s="63"/>
    </row>
    <row r="546" spans="1:11" x14ac:dyDescent="0.25">
      <c r="A546" s="62"/>
      <c r="B546" s="62" t="s">
        <v>5</v>
      </c>
      <c r="C546" s="63" t="s">
        <v>6</v>
      </c>
      <c r="D546" s="62" t="s">
        <v>5</v>
      </c>
      <c r="E546" s="63" t="s">
        <v>6</v>
      </c>
      <c r="F546" s="62" t="s">
        <v>5</v>
      </c>
      <c r="G546" s="63" t="s">
        <v>6</v>
      </c>
      <c r="H546" s="62" t="s">
        <v>5</v>
      </c>
      <c r="I546" s="63" t="s">
        <v>6</v>
      </c>
    </row>
    <row r="547" spans="1:11" ht="14.1" customHeight="1" x14ac:dyDescent="0.25">
      <c r="A547" s="95" t="s">
        <v>131</v>
      </c>
      <c r="B547" s="98">
        <v>147</v>
      </c>
      <c r="C547" s="63">
        <f>(B547/B550)*100</f>
        <v>52.688172043010752</v>
      </c>
      <c r="D547" s="62">
        <v>95</v>
      </c>
      <c r="E547" s="63">
        <f>(D547/D550)*100</f>
        <v>51.351351351351347</v>
      </c>
      <c r="F547" s="62">
        <v>115</v>
      </c>
      <c r="G547" s="63">
        <f>(F547/F550)*100</f>
        <v>47.325102880658434</v>
      </c>
      <c r="H547" s="62">
        <f t="shared" ref="H547:H550" si="133">(B547+D547+F547)</f>
        <v>357</v>
      </c>
      <c r="I547" s="63">
        <f>(H547/H550)*100</f>
        <v>50.495049504950494</v>
      </c>
    </row>
    <row r="548" spans="1:11" ht="28.5" customHeight="1" x14ac:dyDescent="0.25">
      <c r="A548" s="95" t="s">
        <v>132</v>
      </c>
      <c r="B548" s="98">
        <v>115</v>
      </c>
      <c r="C548" s="63">
        <f>(B548/B550)*100</f>
        <v>41.218637992831539</v>
      </c>
      <c r="D548" s="62">
        <v>77</v>
      </c>
      <c r="E548" s="63">
        <f>(D548/D550)*100</f>
        <v>41.621621621621621</v>
      </c>
      <c r="F548" s="62">
        <v>105</v>
      </c>
      <c r="G548" s="63">
        <f>(F548/F550)*100</f>
        <v>43.209876543209873</v>
      </c>
      <c r="H548" s="62">
        <f t="shared" si="133"/>
        <v>297</v>
      </c>
      <c r="I548" s="63">
        <f>(H548/H550)*100</f>
        <v>42.008486562942011</v>
      </c>
    </row>
    <row r="549" spans="1:11" x14ac:dyDescent="0.25">
      <c r="A549" s="95" t="s">
        <v>26</v>
      </c>
      <c r="B549" s="98">
        <v>17</v>
      </c>
      <c r="C549" s="63">
        <f>(B549/B550)*100</f>
        <v>6.0931899641577063</v>
      </c>
      <c r="D549" s="62">
        <v>13</v>
      </c>
      <c r="E549" s="63">
        <f>(D549/D550)*100</f>
        <v>7.0270270270270272</v>
      </c>
      <c r="F549" s="62">
        <v>23</v>
      </c>
      <c r="G549" s="63">
        <f>(F549/F550)*100</f>
        <v>9.4650205761316872</v>
      </c>
      <c r="H549" s="62">
        <f t="shared" si="133"/>
        <v>53</v>
      </c>
      <c r="I549" s="63">
        <f>(H549/H550)*100</f>
        <v>7.4964639321074955</v>
      </c>
      <c r="K549" s="82"/>
    </row>
    <row r="550" spans="1:11" x14ac:dyDescent="0.25">
      <c r="A550" s="95" t="s">
        <v>10</v>
      </c>
      <c r="B550" s="98">
        <f t="shared" ref="B550:I550" si="134">SUM(B547:B549)</f>
        <v>279</v>
      </c>
      <c r="C550" s="63">
        <f t="shared" si="134"/>
        <v>99.999999999999986</v>
      </c>
      <c r="D550" s="62">
        <f t="shared" si="134"/>
        <v>185</v>
      </c>
      <c r="E550" s="63">
        <f t="shared" si="134"/>
        <v>100</v>
      </c>
      <c r="F550" s="62">
        <f t="shared" si="134"/>
        <v>243</v>
      </c>
      <c r="G550" s="63">
        <f t="shared" si="134"/>
        <v>100</v>
      </c>
      <c r="H550" s="62">
        <f t="shared" si="133"/>
        <v>707</v>
      </c>
      <c r="I550" s="63">
        <f t="shared" si="134"/>
        <v>100</v>
      </c>
    </row>
    <row r="553" spans="1:11" x14ac:dyDescent="0.25">
      <c r="A553" s="1" t="s">
        <v>51</v>
      </c>
    </row>
    <row r="554" spans="1:11" x14ac:dyDescent="0.25">
      <c r="A554" s="1"/>
    </row>
    <row r="555" spans="1:11" x14ac:dyDescent="0.25">
      <c r="A555" s="62"/>
      <c r="B555" s="62" t="s">
        <v>7</v>
      </c>
      <c r="C555" s="63"/>
      <c r="D555" s="62" t="s">
        <v>8</v>
      </c>
      <c r="E555" s="63"/>
      <c r="F555" s="62" t="s">
        <v>9</v>
      </c>
      <c r="G555" s="63"/>
      <c r="H555" s="62" t="s">
        <v>10</v>
      </c>
      <c r="I555" s="63"/>
    </row>
    <row r="556" spans="1:11" x14ac:dyDescent="0.25">
      <c r="A556" s="62"/>
      <c r="B556" s="62" t="s">
        <v>5</v>
      </c>
      <c r="C556" s="63" t="s">
        <v>6</v>
      </c>
      <c r="D556" s="62" t="s">
        <v>5</v>
      </c>
      <c r="E556" s="63" t="s">
        <v>6</v>
      </c>
      <c r="F556" s="62" t="s">
        <v>5</v>
      </c>
      <c r="G556" s="63" t="s">
        <v>6</v>
      </c>
      <c r="H556" s="62" t="s">
        <v>5</v>
      </c>
      <c r="I556" s="63" t="s">
        <v>6</v>
      </c>
    </row>
    <row r="557" spans="1:11" ht="30" x14ac:dyDescent="0.25">
      <c r="A557" s="95" t="s">
        <v>133</v>
      </c>
      <c r="B557" s="98">
        <v>252</v>
      </c>
      <c r="C557" s="63">
        <f>(B557/B563)*100</f>
        <v>86.301369863013704</v>
      </c>
      <c r="D557" s="62">
        <v>167</v>
      </c>
      <c r="E557" s="63">
        <f>(D557/D563)*100</f>
        <v>88.359788359788354</v>
      </c>
      <c r="F557" s="62">
        <v>218</v>
      </c>
      <c r="G557" s="63">
        <f>(F557/F563)*100</f>
        <v>86.852589641434264</v>
      </c>
      <c r="H557" s="62">
        <f t="shared" ref="H557:H563" si="135">(B557+D557+F557)</f>
        <v>637</v>
      </c>
      <c r="I557" s="63">
        <f>(H557/H563)*100</f>
        <v>87.021857923497265</v>
      </c>
    </row>
    <row r="558" spans="1:11" x14ac:dyDescent="0.25">
      <c r="A558" s="95" t="s">
        <v>134</v>
      </c>
      <c r="B558" s="98">
        <v>1</v>
      </c>
      <c r="C558" s="63">
        <f>(B558/B563)*100</f>
        <v>0.34246575342465752</v>
      </c>
      <c r="D558" s="62">
        <v>3</v>
      </c>
      <c r="E558" s="63">
        <f>(D558/D563)*100</f>
        <v>1.5873015873015872</v>
      </c>
      <c r="F558" s="62">
        <v>5</v>
      </c>
      <c r="G558" s="63">
        <f>(F558/F563)*100</f>
        <v>1.9920318725099602</v>
      </c>
      <c r="H558" s="62">
        <f t="shared" si="135"/>
        <v>9</v>
      </c>
      <c r="I558" s="63">
        <f>(H558/H563)*100</f>
        <v>1.2295081967213115</v>
      </c>
    </row>
    <row r="559" spans="1:11" x14ac:dyDescent="0.25">
      <c r="A559" s="95" t="s">
        <v>135</v>
      </c>
      <c r="B559" s="98">
        <v>2</v>
      </c>
      <c r="C559" s="63">
        <f>(B559/B563)*100</f>
        <v>0.68493150684931503</v>
      </c>
      <c r="D559" s="62">
        <v>1</v>
      </c>
      <c r="E559" s="63">
        <f>(D559/D563)*100</f>
        <v>0.52910052910052907</v>
      </c>
      <c r="F559" s="62">
        <v>3</v>
      </c>
      <c r="G559" s="63">
        <f>(F559/F563)*100</f>
        <v>1.1952191235059761</v>
      </c>
      <c r="H559" s="62">
        <f t="shared" si="135"/>
        <v>6</v>
      </c>
      <c r="I559" s="63">
        <f>(H559/H563)*100</f>
        <v>0.81967213114754101</v>
      </c>
    </row>
    <row r="560" spans="1:11" x14ac:dyDescent="0.25">
      <c r="A560" s="95" t="s">
        <v>136</v>
      </c>
      <c r="B560" s="98">
        <v>4</v>
      </c>
      <c r="C560" s="63">
        <f>(B560/B563)*100</f>
        <v>1.3698630136986301</v>
      </c>
      <c r="D560" s="62">
        <v>0</v>
      </c>
      <c r="E560" s="63">
        <f>(D560/D563)*100</f>
        <v>0</v>
      </c>
      <c r="F560" s="62">
        <v>0</v>
      </c>
      <c r="G560" s="63">
        <f>(F560/F563)*100</f>
        <v>0</v>
      </c>
      <c r="H560" s="62">
        <f t="shared" si="135"/>
        <v>4</v>
      </c>
      <c r="I560" s="63">
        <f>(H560/H563)*100</f>
        <v>0.54644808743169404</v>
      </c>
    </row>
    <row r="561" spans="1:9" x14ac:dyDescent="0.25">
      <c r="A561" s="95" t="s">
        <v>137</v>
      </c>
      <c r="B561" s="98">
        <v>12</v>
      </c>
      <c r="C561" s="63">
        <f>(B561/B563)*100</f>
        <v>4.10958904109589</v>
      </c>
      <c r="D561" s="62">
        <v>8</v>
      </c>
      <c r="E561" s="63">
        <f>(D561/D563)*100</f>
        <v>4.2328042328042326</v>
      </c>
      <c r="F561" s="62">
        <v>10</v>
      </c>
      <c r="G561" s="63">
        <f>(F561/F563)*100</f>
        <v>3.9840637450199203</v>
      </c>
      <c r="H561" s="62">
        <f t="shared" si="135"/>
        <v>30</v>
      </c>
      <c r="I561" s="63">
        <f>(H561/H563)*100</f>
        <v>4.0983606557377046</v>
      </c>
    </row>
    <row r="562" spans="1:9" x14ac:dyDescent="0.25">
      <c r="A562" s="95" t="s">
        <v>26</v>
      </c>
      <c r="B562" s="98">
        <v>21</v>
      </c>
      <c r="C562" s="63">
        <f>(B562/B563)*100</f>
        <v>7.1917808219178081</v>
      </c>
      <c r="D562" s="62">
        <v>10</v>
      </c>
      <c r="E562" s="63">
        <f>(D562/D563)*100</f>
        <v>5.2910052910052912</v>
      </c>
      <c r="F562" s="62">
        <v>15</v>
      </c>
      <c r="G562" s="63">
        <f>(F562/F563)*100</f>
        <v>5.9760956175298805</v>
      </c>
      <c r="H562" s="62">
        <f t="shared" si="135"/>
        <v>46</v>
      </c>
      <c r="I562" s="63">
        <f>(H562/H563)*100</f>
        <v>6.2841530054644812</v>
      </c>
    </row>
    <row r="563" spans="1:9" x14ac:dyDescent="0.25">
      <c r="A563" s="95" t="s">
        <v>10</v>
      </c>
      <c r="B563" s="98">
        <f t="shared" ref="B563:G563" si="136">SUM(B557:B562)</f>
        <v>292</v>
      </c>
      <c r="C563" s="63">
        <f t="shared" si="136"/>
        <v>100</v>
      </c>
      <c r="D563" s="62">
        <f t="shared" si="136"/>
        <v>189</v>
      </c>
      <c r="E563" s="63">
        <f t="shared" si="136"/>
        <v>99.999999999999986</v>
      </c>
      <c r="F563" s="62">
        <f t="shared" si="136"/>
        <v>251</v>
      </c>
      <c r="G563" s="63">
        <f t="shared" si="136"/>
        <v>100</v>
      </c>
      <c r="H563" s="62">
        <f t="shared" si="135"/>
        <v>732</v>
      </c>
      <c r="I563" s="63">
        <f>SUM(I557:I562)</f>
        <v>100</v>
      </c>
    </row>
    <row r="565" spans="1:9" x14ac:dyDescent="0.25">
      <c r="A565" s="40" t="s">
        <v>286</v>
      </c>
    </row>
    <row r="567" spans="1:9" x14ac:dyDescent="0.25">
      <c r="A567" s="1" t="s">
        <v>52</v>
      </c>
    </row>
    <row r="568" spans="1:9" x14ac:dyDescent="0.25">
      <c r="A568" s="1"/>
    </row>
    <row r="569" spans="1:9" x14ac:dyDescent="0.25">
      <c r="A569" s="62"/>
      <c r="B569" s="62" t="s">
        <v>7</v>
      </c>
      <c r="C569" s="63"/>
      <c r="D569" s="62" t="s">
        <v>8</v>
      </c>
      <c r="E569" s="63"/>
      <c r="F569" s="62" t="s">
        <v>9</v>
      </c>
      <c r="G569" s="63"/>
      <c r="H569" s="62" t="s">
        <v>10</v>
      </c>
      <c r="I569" s="63"/>
    </row>
    <row r="570" spans="1:9" x14ac:dyDescent="0.25">
      <c r="A570" s="62"/>
      <c r="B570" s="62" t="s">
        <v>5</v>
      </c>
      <c r="C570" s="63" t="s">
        <v>6</v>
      </c>
      <c r="D570" s="62" t="s">
        <v>5</v>
      </c>
      <c r="E570" s="63" t="s">
        <v>6</v>
      </c>
      <c r="F570" s="62" t="s">
        <v>5</v>
      </c>
      <c r="G570" s="63" t="s">
        <v>6</v>
      </c>
      <c r="H570" s="62" t="s">
        <v>5</v>
      </c>
      <c r="I570" s="63" t="s">
        <v>6</v>
      </c>
    </row>
    <row r="571" spans="1:9" ht="16.5" customHeight="1" x14ac:dyDescent="0.25">
      <c r="A571" s="95" t="s">
        <v>138</v>
      </c>
      <c r="B571" s="98">
        <v>301</v>
      </c>
      <c r="C571" s="63">
        <f>(B571/366)*100</f>
        <v>82.240437158469945</v>
      </c>
      <c r="D571" s="62">
        <v>210</v>
      </c>
      <c r="E571" s="63">
        <f>(D571/275)*100</f>
        <v>76.363636363636374</v>
      </c>
      <c r="F571" s="62">
        <v>257</v>
      </c>
      <c r="G571" s="63">
        <f>(F571/305)*100</f>
        <v>84.26229508196721</v>
      </c>
      <c r="H571" s="62">
        <f t="shared" ref="H571:H577" si="137">(B571+D571+F571)</f>
        <v>768</v>
      </c>
      <c r="I571" s="63">
        <f>(H571/946)*100</f>
        <v>81.18393234672304</v>
      </c>
    </row>
    <row r="572" spans="1:9" ht="15.75" customHeight="1" x14ac:dyDescent="0.25">
      <c r="A572" s="95" t="s">
        <v>139</v>
      </c>
      <c r="B572" s="98">
        <v>0</v>
      </c>
      <c r="C572" s="63">
        <f t="shared" ref="C572:C577" si="138">(B572/366)*100</f>
        <v>0</v>
      </c>
      <c r="D572" s="62">
        <v>3</v>
      </c>
      <c r="E572" s="63">
        <f t="shared" ref="E572:E576" si="139">(D572/275)*100</f>
        <v>1.0909090909090911</v>
      </c>
      <c r="F572" s="62">
        <v>3</v>
      </c>
      <c r="G572" s="63">
        <f t="shared" ref="G572:G576" si="140">(F572/305)*100</f>
        <v>0.98360655737704927</v>
      </c>
      <c r="H572" s="62">
        <f t="shared" si="137"/>
        <v>6</v>
      </c>
      <c r="I572" s="63">
        <f t="shared" ref="I572:I576" si="141">(H572/946)*100</f>
        <v>0.63424947145877375</v>
      </c>
    </row>
    <row r="573" spans="1:9" ht="14.25" customHeight="1" x14ac:dyDescent="0.25">
      <c r="A573" s="95" t="s">
        <v>140</v>
      </c>
      <c r="B573" s="98">
        <v>14</v>
      </c>
      <c r="C573" s="63">
        <f t="shared" si="138"/>
        <v>3.8251366120218582</v>
      </c>
      <c r="D573" s="62">
        <v>11</v>
      </c>
      <c r="E573" s="63">
        <f t="shared" si="139"/>
        <v>4</v>
      </c>
      <c r="F573" s="62">
        <v>13</v>
      </c>
      <c r="G573" s="63">
        <f t="shared" si="140"/>
        <v>4.2622950819672125</v>
      </c>
      <c r="H573" s="62">
        <f t="shared" si="137"/>
        <v>38</v>
      </c>
      <c r="I573" s="63">
        <f t="shared" si="141"/>
        <v>4.0169133192388999</v>
      </c>
    </row>
    <row r="574" spans="1:9" ht="15" customHeight="1" x14ac:dyDescent="0.25">
      <c r="A574" s="95" t="s">
        <v>141</v>
      </c>
      <c r="B574" s="98">
        <v>9</v>
      </c>
      <c r="C574" s="63">
        <f t="shared" si="138"/>
        <v>2.459016393442623</v>
      </c>
      <c r="D574" s="62">
        <v>8</v>
      </c>
      <c r="E574" s="63">
        <f t="shared" si="139"/>
        <v>2.9090909090909092</v>
      </c>
      <c r="F574" s="62">
        <v>5</v>
      </c>
      <c r="G574" s="63">
        <f t="shared" si="140"/>
        <v>1.639344262295082</v>
      </c>
      <c r="H574" s="62">
        <f t="shared" si="137"/>
        <v>22</v>
      </c>
      <c r="I574" s="63">
        <f t="shared" si="141"/>
        <v>2.3255813953488373</v>
      </c>
    </row>
    <row r="575" spans="1:9" ht="15.75" customHeight="1" x14ac:dyDescent="0.25">
      <c r="A575" s="95" t="s">
        <v>142</v>
      </c>
      <c r="B575" s="98">
        <v>5</v>
      </c>
      <c r="C575" s="63">
        <f t="shared" si="138"/>
        <v>1.3661202185792349</v>
      </c>
      <c r="D575" s="62">
        <v>3</v>
      </c>
      <c r="E575" s="63">
        <f t="shared" si="139"/>
        <v>1.0909090909090911</v>
      </c>
      <c r="F575" s="62">
        <v>1</v>
      </c>
      <c r="G575" s="63">
        <f t="shared" si="140"/>
        <v>0.32786885245901637</v>
      </c>
      <c r="H575" s="62">
        <f t="shared" si="137"/>
        <v>9</v>
      </c>
      <c r="I575" s="63">
        <f t="shared" si="141"/>
        <v>0.95137420718816068</v>
      </c>
    </row>
    <row r="576" spans="1:9" x14ac:dyDescent="0.25">
      <c r="A576" s="95" t="s">
        <v>26</v>
      </c>
      <c r="B576" s="98">
        <v>37</v>
      </c>
      <c r="C576" s="63">
        <f t="shared" si="138"/>
        <v>10.10928961748634</v>
      </c>
      <c r="D576" s="62">
        <v>40</v>
      </c>
      <c r="E576" s="63">
        <f t="shared" si="139"/>
        <v>14.545454545454545</v>
      </c>
      <c r="F576" s="62">
        <v>26</v>
      </c>
      <c r="G576" s="63">
        <f t="shared" si="140"/>
        <v>8.524590163934425</v>
      </c>
      <c r="H576" s="62">
        <f t="shared" si="137"/>
        <v>103</v>
      </c>
      <c r="I576" s="63">
        <f t="shared" si="141"/>
        <v>10.887949260042284</v>
      </c>
    </row>
    <row r="577" spans="1:9" x14ac:dyDescent="0.25">
      <c r="A577" s="95" t="s">
        <v>10</v>
      </c>
      <c r="B577" s="98">
        <f>SUM(B571:B576)</f>
        <v>366</v>
      </c>
      <c r="C577" s="63">
        <f t="shared" si="138"/>
        <v>100</v>
      </c>
      <c r="D577" s="62">
        <f>SUM(D571:D576)</f>
        <v>275</v>
      </c>
      <c r="E577" s="63">
        <f>SUM(E571:E576)</f>
        <v>100.00000000000001</v>
      </c>
      <c r="F577" s="62">
        <f>SUM(F571:F576)</f>
        <v>305</v>
      </c>
      <c r="G577" s="63">
        <f>SUM(G571:G576)</f>
        <v>99.999999999999986</v>
      </c>
      <c r="H577" s="62">
        <f t="shared" si="137"/>
        <v>946</v>
      </c>
      <c r="I577" s="63">
        <f>SUM(I571:I576)</f>
        <v>100</v>
      </c>
    </row>
    <row r="580" spans="1:9" x14ac:dyDescent="0.25">
      <c r="A580" s="1" t="s">
        <v>53</v>
      </c>
    </row>
    <row r="581" spans="1:9" x14ac:dyDescent="0.25">
      <c r="A581" s="1"/>
    </row>
    <row r="582" spans="1:9" x14ac:dyDescent="0.25">
      <c r="A582" s="62"/>
      <c r="B582" s="62" t="s">
        <v>7</v>
      </c>
      <c r="C582" s="63"/>
      <c r="D582" s="62" t="s">
        <v>8</v>
      </c>
      <c r="E582" s="63"/>
      <c r="F582" s="62" t="s">
        <v>9</v>
      </c>
      <c r="G582" s="63"/>
      <c r="H582" s="62" t="s">
        <v>10</v>
      </c>
      <c r="I582" s="63"/>
    </row>
    <row r="583" spans="1:9" x14ac:dyDescent="0.25">
      <c r="A583" s="62"/>
      <c r="B583" s="62" t="s">
        <v>5</v>
      </c>
      <c r="C583" s="63" t="s">
        <v>6</v>
      </c>
      <c r="D583" s="62" t="s">
        <v>5</v>
      </c>
      <c r="E583" s="63" t="s">
        <v>6</v>
      </c>
      <c r="F583" s="62" t="s">
        <v>5</v>
      </c>
      <c r="G583" s="63" t="s">
        <v>6</v>
      </c>
      <c r="H583" s="62" t="s">
        <v>5</v>
      </c>
      <c r="I583" s="63" t="s">
        <v>6</v>
      </c>
    </row>
    <row r="584" spans="1:9" x14ac:dyDescent="0.25">
      <c r="A584" s="95" t="s">
        <v>24</v>
      </c>
      <c r="B584" s="98">
        <v>42</v>
      </c>
      <c r="C584" s="63">
        <f>(B584/380)*100</f>
        <v>11.052631578947368</v>
      </c>
      <c r="D584" s="62">
        <v>34</v>
      </c>
      <c r="E584" s="63">
        <f>(D584/290)*100</f>
        <v>11.724137931034482</v>
      </c>
      <c r="F584" s="62">
        <v>42</v>
      </c>
      <c r="G584" s="63">
        <f>(F584/313)*100</f>
        <v>13.418530351437699</v>
      </c>
      <c r="H584" s="62">
        <f t="shared" ref="H584:H587" si="142">(B584+D584+F584)</f>
        <v>118</v>
      </c>
      <c r="I584" s="63">
        <f>(H584/983)*100</f>
        <v>12.004069175991862</v>
      </c>
    </row>
    <row r="585" spans="1:9" x14ac:dyDescent="0.25">
      <c r="A585" s="95" t="s">
        <v>25</v>
      </c>
      <c r="B585" s="98">
        <v>334</v>
      </c>
      <c r="C585" s="63">
        <f t="shared" ref="C585:C586" si="143">(B585/380)*100</f>
        <v>87.89473684210526</v>
      </c>
      <c r="D585" s="62">
        <v>248</v>
      </c>
      <c r="E585" s="63">
        <f t="shared" ref="E585:E586" si="144">(D585/290)*100</f>
        <v>85.517241379310349</v>
      </c>
      <c r="F585" s="62">
        <v>263</v>
      </c>
      <c r="G585" s="63">
        <f t="shared" ref="G585:G586" si="145">(F585/313)*100</f>
        <v>84.025559105431313</v>
      </c>
      <c r="H585" s="62">
        <f t="shared" si="142"/>
        <v>845</v>
      </c>
      <c r="I585" s="63">
        <f t="shared" ref="I585:I586" si="146">(H585/983)*100</f>
        <v>85.961342828077321</v>
      </c>
    </row>
    <row r="586" spans="1:9" x14ac:dyDescent="0.25">
      <c r="A586" s="95" t="s">
        <v>26</v>
      </c>
      <c r="B586" s="98">
        <v>4</v>
      </c>
      <c r="C586" s="63">
        <f t="shared" si="143"/>
        <v>1.0526315789473684</v>
      </c>
      <c r="D586" s="62">
        <v>8</v>
      </c>
      <c r="E586" s="63">
        <f t="shared" si="144"/>
        <v>2.7586206896551726</v>
      </c>
      <c r="F586" s="62">
        <v>8</v>
      </c>
      <c r="G586" s="63">
        <f t="shared" si="145"/>
        <v>2.5559105431309903</v>
      </c>
      <c r="H586" s="62">
        <f t="shared" si="142"/>
        <v>20</v>
      </c>
      <c r="I586" s="63">
        <f t="shared" si="146"/>
        <v>2.0345879959308242</v>
      </c>
    </row>
    <row r="587" spans="1:9" x14ac:dyDescent="0.25">
      <c r="A587" s="95" t="s">
        <v>10</v>
      </c>
      <c r="B587" s="98">
        <f t="shared" ref="B587:G587" si="147">SUM(B584:B586)</f>
        <v>380</v>
      </c>
      <c r="C587" s="63">
        <f t="shared" si="147"/>
        <v>100</v>
      </c>
      <c r="D587" s="62">
        <f t="shared" si="147"/>
        <v>290</v>
      </c>
      <c r="E587" s="63">
        <f t="shared" si="147"/>
        <v>100</v>
      </c>
      <c r="F587" s="62">
        <f t="shared" si="147"/>
        <v>313</v>
      </c>
      <c r="G587" s="63">
        <f t="shared" si="147"/>
        <v>100</v>
      </c>
      <c r="H587" s="62">
        <f t="shared" si="142"/>
        <v>983</v>
      </c>
      <c r="I587" s="63">
        <f>SUM(I584:I586)</f>
        <v>100</v>
      </c>
    </row>
    <row r="590" spans="1:9" x14ac:dyDescent="0.25">
      <c r="A590" s="1" t="s">
        <v>54</v>
      </c>
    </row>
    <row r="591" spans="1:9" x14ac:dyDescent="0.25">
      <c r="A591" s="1"/>
    </row>
    <row r="592" spans="1:9" x14ac:dyDescent="0.25">
      <c r="A592" s="62"/>
      <c r="B592" s="62" t="s">
        <v>7</v>
      </c>
      <c r="C592" s="63"/>
      <c r="D592" s="62" t="s">
        <v>8</v>
      </c>
      <c r="E592" s="63"/>
      <c r="F592" s="62" t="s">
        <v>9</v>
      </c>
      <c r="G592" s="63"/>
      <c r="H592" s="62" t="s">
        <v>10</v>
      </c>
      <c r="I592" s="63"/>
    </row>
    <row r="593" spans="1:9" x14ac:dyDescent="0.25">
      <c r="A593" s="62"/>
      <c r="B593" s="62" t="s">
        <v>5</v>
      </c>
      <c r="C593" s="63" t="s">
        <v>6</v>
      </c>
      <c r="D593" s="62" t="s">
        <v>5</v>
      </c>
      <c r="E593" s="63" t="s">
        <v>6</v>
      </c>
      <c r="F593" s="62" t="s">
        <v>5</v>
      </c>
      <c r="G593" s="63" t="s">
        <v>6</v>
      </c>
      <c r="H593" s="62" t="s">
        <v>5</v>
      </c>
      <c r="I593" s="63" t="s">
        <v>6</v>
      </c>
    </row>
    <row r="594" spans="1:9" ht="30.75" customHeight="1" x14ac:dyDescent="0.25">
      <c r="A594" s="95" t="s">
        <v>143</v>
      </c>
      <c r="B594" s="98">
        <v>325</v>
      </c>
      <c r="C594" s="63">
        <f>(B594/384)*100</f>
        <v>84.635416666666657</v>
      </c>
      <c r="D594" s="62">
        <v>244</v>
      </c>
      <c r="E594" s="63">
        <f>(D594/294)*100</f>
        <v>82.993197278911566</v>
      </c>
      <c r="F594" s="62">
        <v>266</v>
      </c>
      <c r="G594" s="63">
        <f>(F594/318)*100</f>
        <v>83.647798742138363</v>
      </c>
      <c r="H594" s="62">
        <f t="shared" ref="H594:H598" si="148">(B594+D594+F594)</f>
        <v>835</v>
      </c>
      <c r="I594" s="63">
        <f>(H594/996)*100</f>
        <v>83.835341365461844</v>
      </c>
    </row>
    <row r="595" spans="1:9" ht="17.25" customHeight="1" x14ac:dyDescent="0.25">
      <c r="A595" s="95" t="s">
        <v>144</v>
      </c>
      <c r="B595" s="98">
        <v>42</v>
      </c>
      <c r="C595" s="63">
        <f t="shared" ref="C595:C597" si="149">(B595/384)*100</f>
        <v>10.9375</v>
      </c>
      <c r="D595" s="62">
        <v>30</v>
      </c>
      <c r="E595" s="63">
        <f t="shared" ref="E595:E597" si="150">(D595/294)*100</f>
        <v>10.204081632653061</v>
      </c>
      <c r="F595" s="62">
        <v>40</v>
      </c>
      <c r="G595" s="63">
        <f t="shared" ref="G595:G597" si="151">(F595/318)*100</f>
        <v>12.578616352201259</v>
      </c>
      <c r="H595" s="62">
        <f t="shared" si="148"/>
        <v>112</v>
      </c>
      <c r="I595" s="63">
        <f t="shared" ref="I595:I597" si="152">(H595/996)*100</f>
        <v>11.244979919678714</v>
      </c>
    </row>
    <row r="596" spans="1:9" x14ac:dyDescent="0.25">
      <c r="A596" s="95" t="s">
        <v>145</v>
      </c>
      <c r="B596" s="98">
        <v>6</v>
      </c>
      <c r="C596" s="63">
        <f t="shared" si="149"/>
        <v>1.5625</v>
      </c>
      <c r="D596" s="62">
        <v>6</v>
      </c>
      <c r="E596" s="63">
        <f t="shared" si="150"/>
        <v>2.0408163265306123</v>
      </c>
      <c r="F596" s="62">
        <v>3</v>
      </c>
      <c r="G596" s="63">
        <f t="shared" si="151"/>
        <v>0.94339622641509435</v>
      </c>
      <c r="H596" s="62">
        <f t="shared" si="148"/>
        <v>15</v>
      </c>
      <c r="I596" s="63">
        <f t="shared" si="152"/>
        <v>1.5060240963855422</v>
      </c>
    </row>
    <row r="597" spans="1:9" x14ac:dyDescent="0.25">
      <c r="A597" s="95" t="s">
        <v>26</v>
      </c>
      <c r="B597" s="98">
        <v>11</v>
      </c>
      <c r="C597" s="63">
        <f t="shared" si="149"/>
        <v>2.864583333333333</v>
      </c>
      <c r="D597" s="62">
        <v>14</v>
      </c>
      <c r="E597" s="63">
        <f t="shared" si="150"/>
        <v>4.7619047619047619</v>
      </c>
      <c r="F597" s="62">
        <v>9</v>
      </c>
      <c r="G597" s="63">
        <f t="shared" si="151"/>
        <v>2.8301886792452833</v>
      </c>
      <c r="H597" s="62">
        <f t="shared" si="148"/>
        <v>34</v>
      </c>
      <c r="I597" s="63">
        <f t="shared" si="152"/>
        <v>3.4136546184738958</v>
      </c>
    </row>
    <row r="598" spans="1:9" x14ac:dyDescent="0.25">
      <c r="A598" s="95" t="s">
        <v>10</v>
      </c>
      <c r="B598" s="98">
        <f t="shared" ref="B598:G598" si="153">SUM(B594:B597)</f>
        <v>384</v>
      </c>
      <c r="C598" s="63">
        <f t="shared" si="153"/>
        <v>99.999999999999986</v>
      </c>
      <c r="D598" s="62">
        <f t="shared" si="153"/>
        <v>294</v>
      </c>
      <c r="E598" s="63">
        <f t="shared" si="153"/>
        <v>100</v>
      </c>
      <c r="F598" s="62">
        <f t="shared" si="153"/>
        <v>318</v>
      </c>
      <c r="G598" s="63">
        <f t="shared" si="153"/>
        <v>99.999999999999986</v>
      </c>
      <c r="H598" s="62">
        <f t="shared" si="148"/>
        <v>996</v>
      </c>
      <c r="I598" s="63">
        <f>SUM(I594:I597)</f>
        <v>100</v>
      </c>
    </row>
    <row r="601" spans="1:9" x14ac:dyDescent="0.25">
      <c r="A601" s="1" t="s">
        <v>55</v>
      </c>
    </row>
    <row r="602" spans="1:9" x14ac:dyDescent="0.25">
      <c r="A602" s="1"/>
    </row>
    <row r="603" spans="1:9" x14ac:dyDescent="0.25">
      <c r="A603" s="62"/>
      <c r="B603" s="62" t="s">
        <v>7</v>
      </c>
      <c r="C603" s="63"/>
      <c r="D603" s="62" t="s">
        <v>8</v>
      </c>
      <c r="E603" s="63"/>
      <c r="F603" s="62" t="s">
        <v>9</v>
      </c>
      <c r="G603" s="63"/>
      <c r="H603" s="62" t="s">
        <v>10</v>
      </c>
      <c r="I603" s="63"/>
    </row>
    <row r="604" spans="1:9" x14ac:dyDescent="0.25">
      <c r="A604" s="62"/>
      <c r="B604" s="62" t="s">
        <v>5</v>
      </c>
      <c r="C604" s="63" t="s">
        <v>6</v>
      </c>
      <c r="D604" s="62" t="s">
        <v>5</v>
      </c>
      <c r="E604" s="63" t="s">
        <v>6</v>
      </c>
      <c r="F604" s="62" t="s">
        <v>5</v>
      </c>
      <c r="G604" s="63" t="s">
        <v>6</v>
      </c>
      <c r="H604" s="62" t="s">
        <v>5</v>
      </c>
      <c r="I604" s="63" t="s">
        <v>6</v>
      </c>
    </row>
    <row r="605" spans="1:9" x14ac:dyDescent="0.25">
      <c r="A605" s="95" t="s">
        <v>24</v>
      </c>
      <c r="B605" s="98">
        <v>17</v>
      </c>
      <c r="C605" s="63">
        <f>(B605/358)*100</f>
        <v>4.7486033519553068</v>
      </c>
      <c r="D605" s="62">
        <v>11</v>
      </c>
      <c r="E605" s="63">
        <f>(D605/272)*100</f>
        <v>4.0441176470588234</v>
      </c>
      <c r="F605" s="62">
        <v>19</v>
      </c>
      <c r="G605" s="63">
        <f>(F605/295)*100</f>
        <v>6.4406779661016946</v>
      </c>
      <c r="H605" s="62">
        <f t="shared" ref="H605:H608" si="154">(B605+D605+F605)</f>
        <v>47</v>
      </c>
      <c r="I605" s="63">
        <f>(H605/925)*100</f>
        <v>5.0810810810810816</v>
      </c>
    </row>
    <row r="606" spans="1:9" x14ac:dyDescent="0.25">
      <c r="A606" s="95" t="s">
        <v>25</v>
      </c>
      <c r="B606" s="98">
        <v>313</v>
      </c>
      <c r="C606" s="63">
        <f t="shared" ref="C606:C607" si="155">(B606/358)*100</f>
        <v>87.430167597765362</v>
      </c>
      <c r="D606" s="62">
        <v>242</v>
      </c>
      <c r="E606" s="63">
        <f t="shared" ref="E606:E607" si="156">(D606/272)*100</f>
        <v>88.970588235294116</v>
      </c>
      <c r="F606" s="62">
        <v>250</v>
      </c>
      <c r="G606" s="63">
        <f t="shared" ref="G606:G607" si="157">(F606/295)*100</f>
        <v>84.745762711864401</v>
      </c>
      <c r="H606" s="62">
        <f t="shared" si="154"/>
        <v>805</v>
      </c>
      <c r="I606" s="63">
        <f t="shared" ref="I606:I607" si="158">(H606/925)*100</f>
        <v>87.027027027027032</v>
      </c>
    </row>
    <row r="607" spans="1:9" x14ac:dyDescent="0.25">
      <c r="A607" s="95" t="s">
        <v>26</v>
      </c>
      <c r="B607" s="98">
        <v>28</v>
      </c>
      <c r="C607" s="63">
        <f t="shared" si="155"/>
        <v>7.8212290502793298</v>
      </c>
      <c r="D607" s="62">
        <v>19</v>
      </c>
      <c r="E607" s="63">
        <f t="shared" si="156"/>
        <v>6.9852941176470589</v>
      </c>
      <c r="F607" s="62">
        <v>26</v>
      </c>
      <c r="G607" s="63">
        <f t="shared" si="157"/>
        <v>8.8135593220338979</v>
      </c>
      <c r="H607" s="62">
        <f t="shared" si="154"/>
        <v>73</v>
      </c>
      <c r="I607" s="63">
        <f t="shared" si="158"/>
        <v>7.8918918918918921</v>
      </c>
    </row>
    <row r="608" spans="1:9" ht="16.5" customHeight="1" x14ac:dyDescent="0.25">
      <c r="A608" s="95" t="s">
        <v>10</v>
      </c>
      <c r="B608" s="98">
        <f t="shared" ref="B608:G608" si="159">SUM(B605:B607)</f>
        <v>358</v>
      </c>
      <c r="C608" s="63">
        <f t="shared" si="159"/>
        <v>100</v>
      </c>
      <c r="D608" s="62">
        <f t="shared" si="159"/>
        <v>272</v>
      </c>
      <c r="E608" s="63">
        <f t="shared" si="159"/>
        <v>100</v>
      </c>
      <c r="F608" s="62">
        <f t="shared" si="159"/>
        <v>295</v>
      </c>
      <c r="G608" s="63">
        <f t="shared" si="159"/>
        <v>99.999999999999986</v>
      </c>
      <c r="H608" s="62">
        <f t="shared" si="154"/>
        <v>925</v>
      </c>
      <c r="I608" s="63">
        <f>SUM(I605:I607)</f>
        <v>100</v>
      </c>
    </row>
    <row r="611" spans="1:9" x14ac:dyDescent="0.25">
      <c r="A611" s="1" t="s">
        <v>56</v>
      </c>
    </row>
    <row r="612" spans="1:9" x14ac:dyDescent="0.25">
      <c r="A612" s="1"/>
    </row>
    <row r="613" spans="1:9" x14ac:dyDescent="0.25">
      <c r="A613" s="62"/>
      <c r="B613" s="62" t="s">
        <v>7</v>
      </c>
      <c r="C613" s="63"/>
      <c r="D613" s="62" t="s">
        <v>8</v>
      </c>
      <c r="E613" s="63"/>
      <c r="F613" s="62" t="s">
        <v>9</v>
      </c>
      <c r="G613" s="63"/>
      <c r="H613" s="62" t="s">
        <v>10</v>
      </c>
      <c r="I613" s="63"/>
    </row>
    <row r="614" spans="1:9" x14ac:dyDescent="0.25">
      <c r="A614" s="62"/>
      <c r="B614" s="62" t="s">
        <v>5</v>
      </c>
      <c r="C614" s="63" t="s">
        <v>6</v>
      </c>
      <c r="D614" s="62" t="s">
        <v>5</v>
      </c>
      <c r="E614" s="63" t="s">
        <v>6</v>
      </c>
      <c r="F614" s="62" t="s">
        <v>5</v>
      </c>
      <c r="G614" s="63" t="s">
        <v>6</v>
      </c>
      <c r="H614" s="62" t="s">
        <v>5</v>
      </c>
      <c r="I614" s="63" t="s">
        <v>6</v>
      </c>
    </row>
    <row r="615" spans="1:9" x14ac:dyDescent="0.25">
      <c r="A615" s="95" t="s">
        <v>24</v>
      </c>
      <c r="B615" s="98">
        <v>29</v>
      </c>
      <c r="C615" s="63">
        <f>(B615/281)*100</f>
        <v>10.320284697508896</v>
      </c>
      <c r="D615" s="62">
        <v>24</v>
      </c>
      <c r="E615" s="63">
        <f>(D615/222)*100</f>
        <v>10.810810810810811</v>
      </c>
      <c r="F615" s="62">
        <v>24</v>
      </c>
      <c r="G615" s="63">
        <f>(F615/238)*100</f>
        <v>10.084033613445378</v>
      </c>
      <c r="H615" s="62">
        <f t="shared" ref="H615:H618" si="160">(B615+D615+F615)</f>
        <v>77</v>
      </c>
      <c r="I615" s="63">
        <f>(H615/741)*100</f>
        <v>10.39136302294197</v>
      </c>
    </row>
    <row r="616" spans="1:9" x14ac:dyDescent="0.25">
      <c r="A616" s="95" t="s">
        <v>25</v>
      </c>
      <c r="B616" s="98">
        <v>238</v>
      </c>
      <c r="C616" s="63">
        <f t="shared" ref="C616:C617" si="161">(B616/281)*100</f>
        <v>84.69750889679716</v>
      </c>
      <c r="D616" s="62">
        <v>178</v>
      </c>
      <c r="E616" s="63">
        <f t="shared" ref="E616:E617" si="162">(D616/222)*100</f>
        <v>80.180180180180187</v>
      </c>
      <c r="F616" s="62">
        <v>195</v>
      </c>
      <c r="G616" s="63">
        <f t="shared" ref="G616:G617" si="163">(F616/238)*100</f>
        <v>81.932773109243698</v>
      </c>
      <c r="H616" s="62">
        <f t="shared" si="160"/>
        <v>611</v>
      </c>
      <c r="I616" s="63">
        <f t="shared" ref="I616:I617" si="164">(H616/741)*100</f>
        <v>82.456140350877192</v>
      </c>
    </row>
    <row r="617" spans="1:9" x14ac:dyDescent="0.25">
      <c r="A617" s="95" t="s">
        <v>26</v>
      </c>
      <c r="B617" s="98">
        <v>14</v>
      </c>
      <c r="C617" s="63">
        <f t="shared" si="161"/>
        <v>4.9822064056939501</v>
      </c>
      <c r="D617" s="62">
        <v>20</v>
      </c>
      <c r="E617" s="63">
        <f t="shared" si="162"/>
        <v>9.0090090090090094</v>
      </c>
      <c r="F617" s="62">
        <v>19</v>
      </c>
      <c r="G617" s="63">
        <f t="shared" si="163"/>
        <v>7.9831932773109235</v>
      </c>
      <c r="H617" s="62">
        <f t="shared" si="160"/>
        <v>53</v>
      </c>
      <c r="I617" s="63">
        <f t="shared" si="164"/>
        <v>7.1524966261808363</v>
      </c>
    </row>
    <row r="618" spans="1:9" x14ac:dyDescent="0.25">
      <c r="A618" s="95" t="s">
        <v>10</v>
      </c>
      <c r="B618" s="98">
        <f t="shared" ref="B618:G618" si="165">SUM(B615:B617)</f>
        <v>281</v>
      </c>
      <c r="C618" s="63">
        <f t="shared" si="165"/>
        <v>100</v>
      </c>
      <c r="D618" s="62">
        <f t="shared" si="165"/>
        <v>222</v>
      </c>
      <c r="E618" s="63">
        <f t="shared" si="165"/>
        <v>100</v>
      </c>
      <c r="F618" s="62">
        <f t="shared" si="165"/>
        <v>238</v>
      </c>
      <c r="G618" s="63">
        <f t="shared" si="165"/>
        <v>99.999999999999986</v>
      </c>
      <c r="H618" s="62">
        <f t="shared" si="160"/>
        <v>741</v>
      </c>
      <c r="I618" s="63">
        <f>SUM(I615:I617)</f>
        <v>100</v>
      </c>
    </row>
    <row r="619" spans="1:9" x14ac:dyDescent="0.25">
      <c r="A619" s="96"/>
      <c r="B619" s="36"/>
      <c r="C619" s="37"/>
      <c r="D619" s="36"/>
      <c r="E619" s="37"/>
      <c r="F619" s="36"/>
      <c r="G619" s="37"/>
      <c r="H619" s="36"/>
      <c r="I619" s="37"/>
    </row>
    <row r="620" spans="1:9" x14ac:dyDescent="0.25">
      <c r="A620" s="96"/>
      <c r="B620" s="36"/>
      <c r="C620" s="37"/>
      <c r="D620" s="36"/>
      <c r="E620" s="37"/>
      <c r="F620" s="36"/>
      <c r="G620" s="37"/>
      <c r="H620" s="36"/>
      <c r="I620" s="37"/>
    </row>
    <row r="621" spans="1:9" x14ac:dyDescent="0.25">
      <c r="A621" s="1" t="s">
        <v>57</v>
      </c>
    </row>
    <row r="622" spans="1:9" x14ac:dyDescent="0.25">
      <c r="A622" s="1"/>
    </row>
    <row r="623" spans="1:9" x14ac:dyDescent="0.25">
      <c r="A623" s="62"/>
      <c r="B623" s="62" t="s">
        <v>7</v>
      </c>
      <c r="C623" s="63"/>
      <c r="D623" s="62" t="s">
        <v>8</v>
      </c>
      <c r="E623" s="63"/>
      <c r="F623" s="62" t="s">
        <v>9</v>
      </c>
      <c r="G623" s="63"/>
      <c r="H623" s="62" t="s">
        <v>10</v>
      </c>
      <c r="I623" s="63"/>
    </row>
    <row r="624" spans="1:9" x14ac:dyDescent="0.25">
      <c r="A624" s="62"/>
      <c r="B624" s="62" t="s">
        <v>5</v>
      </c>
      <c r="C624" s="63" t="s">
        <v>6</v>
      </c>
      <c r="D624" s="62" t="s">
        <v>5</v>
      </c>
      <c r="E624" s="63" t="s">
        <v>6</v>
      </c>
      <c r="F624" s="62" t="s">
        <v>5</v>
      </c>
      <c r="G624" s="63" t="s">
        <v>6</v>
      </c>
      <c r="H624" s="62" t="s">
        <v>5</v>
      </c>
      <c r="I624" s="63" t="s">
        <v>6</v>
      </c>
    </row>
    <row r="625" spans="1:11" x14ac:dyDescent="0.25">
      <c r="A625" s="95" t="s">
        <v>146</v>
      </c>
      <c r="B625" s="98">
        <v>133</v>
      </c>
      <c r="C625" s="63">
        <f>(B625/358)*100</f>
        <v>37.150837988826815</v>
      </c>
      <c r="D625" s="62">
        <v>100</v>
      </c>
      <c r="E625" s="63">
        <f>(D625/272)*100</f>
        <v>36.764705882352942</v>
      </c>
      <c r="F625" s="62">
        <v>128</v>
      </c>
      <c r="G625" s="63">
        <f>(F625/295)*100</f>
        <v>43.389830508474574</v>
      </c>
      <c r="H625" s="62">
        <f t="shared" ref="H625:H630" si="166">(B625+D625+F625)</f>
        <v>361</v>
      </c>
      <c r="I625" s="63">
        <f>(H625/925)*100</f>
        <v>39.027027027027032</v>
      </c>
    </row>
    <row r="626" spans="1:11" x14ac:dyDescent="0.25">
      <c r="A626" s="95" t="s">
        <v>147</v>
      </c>
      <c r="B626" s="98">
        <v>149</v>
      </c>
      <c r="C626" s="63">
        <f t="shared" ref="C626:C630" si="167">(B626/358)*100</f>
        <v>41.620111731843572</v>
      </c>
      <c r="D626" s="62">
        <v>93</v>
      </c>
      <c r="E626" s="63">
        <f t="shared" ref="E626:E630" si="168">(D626/272)*100</f>
        <v>34.191176470588239</v>
      </c>
      <c r="F626" s="62">
        <v>111</v>
      </c>
      <c r="G626" s="63">
        <f t="shared" ref="G626:G630" si="169">(F626/295)*100</f>
        <v>37.627118644067799</v>
      </c>
      <c r="H626" s="62">
        <f t="shared" si="166"/>
        <v>353</v>
      </c>
      <c r="I626" s="63">
        <f t="shared" ref="I626:I630" si="170">(H626/925)*100</f>
        <v>38.162162162162161</v>
      </c>
    </row>
    <row r="627" spans="1:11" x14ac:dyDescent="0.25">
      <c r="A627" s="95" t="s">
        <v>148</v>
      </c>
      <c r="B627" s="98">
        <v>110</v>
      </c>
      <c r="C627" s="63">
        <f t="shared" si="167"/>
        <v>30.726256983240223</v>
      </c>
      <c r="D627" s="62">
        <v>87</v>
      </c>
      <c r="E627" s="63">
        <f t="shared" si="168"/>
        <v>31.985294117647058</v>
      </c>
      <c r="F627" s="62">
        <v>75</v>
      </c>
      <c r="G627" s="63">
        <f t="shared" si="169"/>
        <v>25.423728813559322</v>
      </c>
      <c r="H627" s="62">
        <f t="shared" si="166"/>
        <v>272</v>
      </c>
      <c r="I627" s="63">
        <f t="shared" si="170"/>
        <v>29.405405405405403</v>
      </c>
    </row>
    <row r="628" spans="1:11" x14ac:dyDescent="0.25">
      <c r="A628" s="95" t="s">
        <v>149</v>
      </c>
      <c r="B628" s="98">
        <v>205</v>
      </c>
      <c r="C628" s="63">
        <f t="shared" si="167"/>
        <v>57.262569832402235</v>
      </c>
      <c r="D628" s="62">
        <v>147</v>
      </c>
      <c r="E628" s="63">
        <f t="shared" si="168"/>
        <v>54.044117647058819</v>
      </c>
      <c r="F628" s="62">
        <v>167</v>
      </c>
      <c r="G628" s="63">
        <f t="shared" si="169"/>
        <v>56.610169491525419</v>
      </c>
      <c r="H628" s="62">
        <f t="shared" si="166"/>
        <v>519</v>
      </c>
      <c r="I628" s="63">
        <f t="shared" si="170"/>
        <v>56.108108108108112</v>
      </c>
    </row>
    <row r="629" spans="1:11" x14ac:dyDescent="0.25">
      <c r="A629" s="95" t="s">
        <v>150</v>
      </c>
      <c r="B629" s="98">
        <v>94</v>
      </c>
      <c r="C629" s="63">
        <f t="shared" si="167"/>
        <v>26.256983240223462</v>
      </c>
      <c r="D629" s="62">
        <v>78</v>
      </c>
      <c r="E629" s="63">
        <f t="shared" si="168"/>
        <v>28.676470588235293</v>
      </c>
      <c r="F629" s="62">
        <v>91</v>
      </c>
      <c r="G629" s="63">
        <f t="shared" si="169"/>
        <v>30.847457627118647</v>
      </c>
      <c r="H629" s="62">
        <f t="shared" si="166"/>
        <v>263</v>
      </c>
      <c r="I629" s="63">
        <f t="shared" si="170"/>
        <v>28.432432432432432</v>
      </c>
    </row>
    <row r="630" spans="1:11" x14ac:dyDescent="0.25">
      <c r="A630" s="95" t="s">
        <v>151</v>
      </c>
      <c r="B630" s="98">
        <v>28</v>
      </c>
      <c r="C630" s="63">
        <f t="shared" si="167"/>
        <v>7.8212290502793298</v>
      </c>
      <c r="D630" s="62">
        <v>22</v>
      </c>
      <c r="E630" s="63">
        <f t="shared" si="168"/>
        <v>8.0882352941176467</v>
      </c>
      <c r="F630" s="62">
        <v>28</v>
      </c>
      <c r="G630" s="63">
        <f t="shared" si="169"/>
        <v>9.4915254237288131</v>
      </c>
      <c r="H630" s="62">
        <f t="shared" si="166"/>
        <v>78</v>
      </c>
      <c r="I630" s="63">
        <f t="shared" si="170"/>
        <v>8.4324324324324316</v>
      </c>
      <c r="K630" s="60" t="s">
        <v>299</v>
      </c>
    </row>
    <row r="633" spans="1:11" x14ac:dyDescent="0.25">
      <c r="A633" s="1" t="s">
        <v>58</v>
      </c>
    </row>
    <row r="634" spans="1:11" x14ac:dyDescent="0.25">
      <c r="A634" s="1"/>
    </row>
    <row r="635" spans="1:11" x14ac:dyDescent="0.25">
      <c r="A635" s="62"/>
      <c r="B635" s="62" t="s">
        <v>7</v>
      </c>
      <c r="C635" s="63"/>
      <c r="D635" s="62" t="s">
        <v>8</v>
      </c>
      <c r="E635" s="63"/>
      <c r="F635" s="62" t="s">
        <v>9</v>
      </c>
      <c r="G635" s="63"/>
      <c r="H635" s="62" t="s">
        <v>10</v>
      </c>
      <c r="I635" s="63"/>
    </row>
    <row r="636" spans="1:11" x14ac:dyDescent="0.25">
      <c r="A636" s="62"/>
      <c r="B636" s="62" t="s">
        <v>5</v>
      </c>
      <c r="C636" s="63" t="s">
        <v>6</v>
      </c>
      <c r="D636" s="62" t="s">
        <v>5</v>
      </c>
      <c r="E636" s="63" t="s">
        <v>6</v>
      </c>
      <c r="F636" s="62" t="s">
        <v>5</v>
      </c>
      <c r="G636" s="63" t="s">
        <v>6</v>
      </c>
      <c r="H636" s="62" t="s">
        <v>5</v>
      </c>
      <c r="I636" s="63" t="s">
        <v>6</v>
      </c>
    </row>
    <row r="637" spans="1:11" ht="30" x14ac:dyDescent="0.25">
      <c r="A637" s="95" t="s">
        <v>152</v>
      </c>
      <c r="B637" s="98">
        <v>130</v>
      </c>
      <c r="C637" s="63">
        <f>(B637/358)*100</f>
        <v>36.312849162011176</v>
      </c>
      <c r="D637" s="62">
        <v>102</v>
      </c>
      <c r="E637" s="63">
        <f>(D637/272)*100</f>
        <v>37.5</v>
      </c>
      <c r="F637" s="62">
        <v>123</v>
      </c>
      <c r="G637" s="63">
        <f>(F637/295)*100</f>
        <v>41.694915254237287</v>
      </c>
      <c r="H637" s="62">
        <f t="shared" ref="H637:H642" si="171">(B637+D637+F637)</f>
        <v>355</v>
      </c>
      <c r="I637" s="63">
        <f>(H637/925)*100</f>
        <v>38.378378378378379</v>
      </c>
    </row>
    <row r="638" spans="1:11" ht="30" x14ac:dyDescent="0.25">
      <c r="A638" s="95" t="s">
        <v>153</v>
      </c>
      <c r="B638" s="98">
        <v>104</v>
      </c>
      <c r="C638" s="63">
        <f t="shared" ref="C638:C642" si="172">(B638/358)*100</f>
        <v>29.050279329608941</v>
      </c>
      <c r="D638" s="62">
        <v>80</v>
      </c>
      <c r="E638" s="63">
        <f t="shared" ref="E638:E642" si="173">(D638/272)*100</f>
        <v>29.411764705882355</v>
      </c>
      <c r="F638" s="62">
        <v>64</v>
      </c>
      <c r="G638" s="63">
        <f t="shared" ref="G638:G642" si="174">(F638/295)*100</f>
        <v>21.694915254237287</v>
      </c>
      <c r="H638" s="62">
        <f t="shared" si="171"/>
        <v>248</v>
      </c>
      <c r="I638" s="63">
        <f t="shared" ref="I638:I642" si="175">(H638/925)*100</f>
        <v>26.810810810810811</v>
      </c>
    </row>
    <row r="639" spans="1:11" ht="30" x14ac:dyDescent="0.25">
      <c r="A639" s="95" t="s">
        <v>154</v>
      </c>
      <c r="B639" s="98">
        <v>100</v>
      </c>
      <c r="C639" s="63">
        <f t="shared" si="172"/>
        <v>27.932960893854748</v>
      </c>
      <c r="D639" s="62">
        <v>88</v>
      </c>
      <c r="E639" s="63">
        <f t="shared" si="173"/>
        <v>32.352941176470587</v>
      </c>
      <c r="F639" s="62">
        <v>90</v>
      </c>
      <c r="G639" s="63">
        <f t="shared" si="174"/>
        <v>30.508474576271187</v>
      </c>
      <c r="H639" s="62">
        <f t="shared" si="171"/>
        <v>278</v>
      </c>
      <c r="I639" s="63">
        <f t="shared" si="175"/>
        <v>30.054054054054053</v>
      </c>
    </row>
    <row r="640" spans="1:11" ht="30" x14ac:dyDescent="0.25">
      <c r="A640" s="95" t="s">
        <v>155</v>
      </c>
      <c r="B640" s="98">
        <v>86</v>
      </c>
      <c r="C640" s="63">
        <f t="shared" si="172"/>
        <v>24.022346368715084</v>
      </c>
      <c r="D640" s="62">
        <v>70</v>
      </c>
      <c r="E640" s="63">
        <f t="shared" si="173"/>
        <v>25.735294117647058</v>
      </c>
      <c r="F640" s="62">
        <v>76</v>
      </c>
      <c r="G640" s="63">
        <f t="shared" si="174"/>
        <v>25.762711864406779</v>
      </c>
      <c r="H640" s="62">
        <f t="shared" si="171"/>
        <v>232</v>
      </c>
      <c r="I640" s="63">
        <f t="shared" si="175"/>
        <v>25.081081081081081</v>
      </c>
      <c r="K640" s="60" t="s">
        <v>299</v>
      </c>
    </row>
    <row r="641" spans="1:9" ht="30" x14ac:dyDescent="0.25">
      <c r="A641" s="95" t="s">
        <v>156</v>
      </c>
      <c r="B641" s="98">
        <v>62</v>
      </c>
      <c r="C641" s="63">
        <f t="shared" si="172"/>
        <v>17.318435754189945</v>
      </c>
      <c r="D641" s="62">
        <v>55</v>
      </c>
      <c r="E641" s="63">
        <f t="shared" si="173"/>
        <v>20.22058823529412</v>
      </c>
      <c r="F641" s="62">
        <v>48</v>
      </c>
      <c r="G641" s="63">
        <f t="shared" si="174"/>
        <v>16.271186440677965</v>
      </c>
      <c r="H641" s="62">
        <f t="shared" si="171"/>
        <v>165</v>
      </c>
      <c r="I641" s="63">
        <f t="shared" si="175"/>
        <v>17.837837837837839</v>
      </c>
    </row>
    <row r="642" spans="1:9" x14ac:dyDescent="0.25">
      <c r="A642" s="95" t="s">
        <v>151</v>
      </c>
      <c r="B642" s="98">
        <v>34</v>
      </c>
      <c r="C642" s="63">
        <f t="shared" si="172"/>
        <v>9.4972067039106136</v>
      </c>
      <c r="D642" s="62">
        <v>22</v>
      </c>
      <c r="E642" s="63">
        <f t="shared" si="173"/>
        <v>8.0882352941176467</v>
      </c>
      <c r="F642" s="62">
        <v>15</v>
      </c>
      <c r="G642" s="63">
        <f t="shared" si="174"/>
        <v>5.0847457627118651</v>
      </c>
      <c r="H642" s="62">
        <f t="shared" si="171"/>
        <v>71</v>
      </c>
      <c r="I642" s="63">
        <f t="shared" si="175"/>
        <v>7.6756756756756754</v>
      </c>
    </row>
    <row r="645" spans="1:9" x14ac:dyDescent="0.25">
      <c r="A645" s="48" t="s">
        <v>289</v>
      </c>
      <c r="B645" s="104"/>
      <c r="C645" s="104"/>
    </row>
  </sheetData>
  <mergeCells count="32">
    <mergeCell ref="T152:U152"/>
    <mergeCell ref="V152:W152"/>
    <mergeCell ref="X152:Y152"/>
    <mergeCell ref="Z152:AA152"/>
    <mergeCell ref="AB152:AC152"/>
    <mergeCell ref="J152:K152"/>
    <mergeCell ref="L152:M152"/>
    <mergeCell ref="N152:O152"/>
    <mergeCell ref="P152:Q152"/>
    <mergeCell ref="R152:S152"/>
    <mergeCell ref="A244:I244"/>
    <mergeCell ref="A344:E344"/>
    <mergeCell ref="B104:C104"/>
    <mergeCell ref="D104:E104"/>
    <mergeCell ref="F104:G104"/>
    <mergeCell ref="H104:I104"/>
    <mergeCell ref="B152:C152"/>
    <mergeCell ref="D152:E152"/>
    <mergeCell ref="F152:G152"/>
    <mergeCell ref="H152:I152"/>
    <mergeCell ref="A465:C465"/>
    <mergeCell ref="A645:C645"/>
    <mergeCell ref="A358:C358"/>
    <mergeCell ref="A463:C463"/>
    <mergeCell ref="P399:Q399"/>
    <mergeCell ref="L399:M399"/>
    <mergeCell ref="F399:G399"/>
    <mergeCell ref="B399:C399"/>
    <mergeCell ref="D399:E399"/>
    <mergeCell ref="H399:I399"/>
    <mergeCell ref="J399:K399"/>
    <mergeCell ref="N399:O399"/>
  </mergeCells>
  <phoneticPr fontId="2" type="noConversion"/>
  <pageMargins left="0.7" right="0.7" top="0.75" bottom="0.75" header="0.3" footer="0.3"/>
  <pageSetup paperSize="9" orientation="landscape" r:id="rId1"/>
  <rowBreaks count="10" manualBreakCount="10">
    <brk id="31" max="16383" man="1"/>
    <brk id="176" max="16383" man="1"/>
    <brk id="228" max="16383" man="1"/>
    <brk id="243" max="16383" man="1"/>
    <brk id="258" max="16383" man="1"/>
    <brk id="396" max="16383" man="1"/>
    <brk id="422" max="16383" man="1"/>
    <brk id="496" max="16383" man="1"/>
    <brk id="517" max="16383" man="1"/>
    <brk id="56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8AC413586DC84AAA39FB0BBD442EB4" ma:contentTypeVersion="11" ma:contentTypeDescription="Create a new document." ma:contentTypeScope="" ma:versionID="7e3a7e7b4e61d228a620131a222bb81c">
  <xsd:schema xmlns:xsd="http://www.w3.org/2001/XMLSchema" xmlns:xs="http://www.w3.org/2001/XMLSchema" xmlns:p="http://schemas.microsoft.com/office/2006/metadata/properties" xmlns:ns3="ffe9e5f4-1f59-4f64-bd52-a4c756a5a532" xmlns:ns4="148e195a-bd78-473a-8bcf-1e1cfe048f50" targetNamespace="http://schemas.microsoft.com/office/2006/metadata/properties" ma:root="true" ma:fieldsID="b94dc929377ecb67f83ada056b6b8d22" ns3:_="" ns4:_="">
    <xsd:import namespace="ffe9e5f4-1f59-4f64-bd52-a4c756a5a532"/>
    <xsd:import namespace="148e195a-bd78-473a-8bcf-1e1cfe048f5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Location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e9e5f4-1f59-4f64-bd52-a4c756a5a5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8e195a-bd78-473a-8bcf-1e1cfe048f5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388005-3AB6-4E83-B5F5-3DA845DFC442}">
  <ds:schemaRefs>
    <ds:schemaRef ds:uri="http://purl.org/dc/terms/"/>
    <ds:schemaRef ds:uri="148e195a-bd78-473a-8bcf-1e1cfe048f50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fe9e5f4-1f59-4f64-bd52-a4c756a5a532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D3BE7AA-1CE9-4335-B1BA-A83307A358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66C74D-12D6-4F51-ABE3-3740829668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e9e5f4-1f59-4f64-bd52-a4c756a5a532"/>
    <ds:schemaRef ds:uri="148e195a-bd78-473a-8bcf-1e1cfe048f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Korhonen</dc:creator>
  <cp:lastModifiedBy>Ohtonen Katja</cp:lastModifiedBy>
  <cp:lastPrinted>2019-07-30T07:55:24Z</cp:lastPrinted>
  <dcterms:created xsi:type="dcterms:W3CDTF">2019-06-27T06:43:35Z</dcterms:created>
  <dcterms:modified xsi:type="dcterms:W3CDTF">2020-01-03T10:26:25Z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0x010100208AC413586DC84AAA39FB0BBD442EB4</vt:lpwstr>
  </property>
</Properties>
</file>